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31468048aff8456/TCA Admin Documents/TCAA/Monthly Meetings/Supplement information/FY2023-2024/Budget Reports/"/>
    </mc:Choice>
  </mc:AlternateContent>
  <xr:revisionPtr revIDLastSave="57" documentId="11_C8F16C8FB1C395C627D9F03948104F7A4F27384C" xr6:coauthVersionLast="47" xr6:coauthVersionMax="47" xr10:uidLastSave="{3AFE0181-F75B-483B-9E33-F9AF5F08629F}"/>
  <bookViews>
    <workbookView xWindow="-28920" yWindow="-120" windowWidth="29040" windowHeight="15720" xr2:uid="{00000000-000D-0000-FFFF-FFFF00000000}"/>
  </bookViews>
  <sheets>
    <sheet name="Budget vs. Actu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" l="1"/>
  <c r="C8" i="1"/>
  <c r="AA61" i="1"/>
  <c r="Z61" i="1"/>
  <c r="X61" i="1"/>
  <c r="W61" i="1"/>
  <c r="Y61" i="1" s="1"/>
  <c r="U61" i="1"/>
  <c r="T61" i="1"/>
  <c r="R61" i="1"/>
  <c r="Q61" i="1"/>
  <c r="S61" i="1" s="1"/>
  <c r="O61" i="1"/>
  <c r="N61" i="1"/>
  <c r="P61" i="1" s="1"/>
  <c r="L61" i="1"/>
  <c r="K61" i="1"/>
  <c r="I61" i="1"/>
  <c r="H61" i="1"/>
  <c r="J61" i="1" s="1"/>
  <c r="G61" i="1"/>
  <c r="F61" i="1"/>
  <c r="E61" i="1"/>
  <c r="C61" i="1"/>
  <c r="B61" i="1"/>
  <c r="AA60" i="1"/>
  <c r="Z60" i="1"/>
  <c r="AB60" i="1" s="1"/>
  <c r="X60" i="1"/>
  <c r="Y60" i="1" s="1"/>
  <c r="W60" i="1"/>
  <c r="U60" i="1"/>
  <c r="T60" i="1"/>
  <c r="V60" i="1" s="1"/>
  <c r="R60" i="1"/>
  <c r="Q60" i="1"/>
  <c r="O60" i="1"/>
  <c r="N60" i="1"/>
  <c r="P60" i="1" s="1"/>
  <c r="L60" i="1"/>
  <c r="K60" i="1"/>
  <c r="M60" i="1" s="1"/>
  <c r="I60" i="1"/>
  <c r="J60" i="1" s="1"/>
  <c r="H60" i="1"/>
  <c r="F60" i="1"/>
  <c r="E60" i="1"/>
  <c r="G60" i="1" s="1"/>
  <c r="C60" i="1"/>
  <c r="B60" i="1"/>
  <c r="AA59" i="1"/>
  <c r="Z59" i="1"/>
  <c r="X59" i="1"/>
  <c r="W59" i="1"/>
  <c r="U59" i="1"/>
  <c r="T59" i="1"/>
  <c r="V59" i="1" s="1"/>
  <c r="S59" i="1"/>
  <c r="R59" i="1"/>
  <c r="Q59" i="1"/>
  <c r="O59" i="1"/>
  <c r="P59" i="1" s="1"/>
  <c r="L59" i="1"/>
  <c r="K59" i="1"/>
  <c r="M59" i="1" s="1"/>
  <c r="I59" i="1"/>
  <c r="J59" i="1" s="1"/>
  <c r="H59" i="1"/>
  <c r="F59" i="1"/>
  <c r="E59" i="1"/>
  <c r="C59" i="1"/>
  <c r="B59" i="1"/>
  <c r="AA58" i="1"/>
  <c r="Z58" i="1"/>
  <c r="X58" i="1"/>
  <c r="W58" i="1"/>
  <c r="W62" i="1" s="1"/>
  <c r="U58" i="1"/>
  <c r="U62" i="1" s="1"/>
  <c r="T58" i="1"/>
  <c r="R58" i="1"/>
  <c r="Q58" i="1"/>
  <c r="S58" i="1" s="1"/>
  <c r="P58" i="1"/>
  <c r="O58" i="1"/>
  <c r="N58" i="1"/>
  <c r="L58" i="1"/>
  <c r="K58" i="1"/>
  <c r="I58" i="1"/>
  <c r="H58" i="1"/>
  <c r="F58" i="1"/>
  <c r="E58" i="1"/>
  <c r="G58" i="1" s="1"/>
  <c r="C58" i="1"/>
  <c r="B58" i="1"/>
  <c r="D58" i="1" s="1"/>
  <c r="Z57" i="1"/>
  <c r="AB56" i="1"/>
  <c r="AA56" i="1"/>
  <c r="Z56" i="1"/>
  <c r="X56" i="1"/>
  <c r="Y56" i="1" s="1"/>
  <c r="W56" i="1"/>
  <c r="U56" i="1"/>
  <c r="T56" i="1"/>
  <c r="R56" i="1"/>
  <c r="Q56" i="1"/>
  <c r="O56" i="1"/>
  <c r="N56" i="1"/>
  <c r="P56" i="1" s="1"/>
  <c r="L56" i="1"/>
  <c r="K56" i="1"/>
  <c r="I56" i="1"/>
  <c r="J56" i="1" s="1"/>
  <c r="G56" i="1"/>
  <c r="F56" i="1"/>
  <c r="E56" i="1"/>
  <c r="C56" i="1"/>
  <c r="B56" i="1"/>
  <c r="B57" i="1" s="1"/>
  <c r="AA55" i="1"/>
  <c r="Z55" i="1"/>
  <c r="AB55" i="1" s="1"/>
  <c r="Y55" i="1"/>
  <c r="X55" i="1"/>
  <c r="W55" i="1"/>
  <c r="U55" i="1"/>
  <c r="T55" i="1"/>
  <c r="R55" i="1"/>
  <c r="Q55" i="1"/>
  <c r="O55" i="1"/>
  <c r="N55" i="1"/>
  <c r="P55" i="1" s="1"/>
  <c r="L55" i="1"/>
  <c r="K55" i="1"/>
  <c r="M55" i="1" s="1"/>
  <c r="I55" i="1"/>
  <c r="J55" i="1" s="1"/>
  <c r="H55" i="1"/>
  <c r="F55" i="1"/>
  <c r="E55" i="1"/>
  <c r="C55" i="1"/>
  <c r="AD55" i="1" s="1"/>
  <c r="B55" i="1"/>
  <c r="AA54" i="1"/>
  <c r="Z54" i="1"/>
  <c r="X54" i="1"/>
  <c r="X57" i="1" s="1"/>
  <c r="W54" i="1"/>
  <c r="W57" i="1" s="1"/>
  <c r="U54" i="1"/>
  <c r="T54" i="1"/>
  <c r="S54" i="1"/>
  <c r="R54" i="1"/>
  <c r="Q54" i="1"/>
  <c r="O54" i="1"/>
  <c r="O57" i="1" s="1"/>
  <c r="N54" i="1"/>
  <c r="L54" i="1"/>
  <c r="K54" i="1"/>
  <c r="I54" i="1"/>
  <c r="H54" i="1"/>
  <c r="F54" i="1"/>
  <c r="E54" i="1"/>
  <c r="E57" i="1" s="1"/>
  <c r="C54" i="1"/>
  <c r="B54" i="1"/>
  <c r="AD53" i="1"/>
  <c r="AC53" i="1"/>
  <c r="AB53" i="1"/>
  <c r="Y53" i="1"/>
  <c r="V53" i="1"/>
  <c r="S53" i="1"/>
  <c r="P53" i="1"/>
  <c r="M53" i="1"/>
  <c r="J53" i="1"/>
  <c r="G53" i="1"/>
  <c r="D53" i="1"/>
  <c r="AC52" i="1"/>
  <c r="AA52" i="1"/>
  <c r="AB52" i="1" s="1"/>
  <c r="X52" i="1"/>
  <c r="Y52" i="1" s="1"/>
  <c r="U52" i="1"/>
  <c r="V52" i="1" s="1"/>
  <c r="R52" i="1"/>
  <c r="S52" i="1" s="1"/>
  <c r="P52" i="1"/>
  <c r="O52" i="1"/>
  <c r="L52" i="1"/>
  <c r="M52" i="1" s="1"/>
  <c r="I52" i="1"/>
  <c r="J52" i="1" s="1"/>
  <c r="F52" i="1"/>
  <c r="C52" i="1"/>
  <c r="D52" i="1" s="1"/>
  <c r="AA51" i="1"/>
  <c r="AB51" i="1" s="1"/>
  <c r="X51" i="1"/>
  <c r="W51" i="1"/>
  <c r="U51" i="1"/>
  <c r="V51" i="1" s="1"/>
  <c r="R51" i="1"/>
  <c r="S51" i="1" s="1"/>
  <c r="O51" i="1"/>
  <c r="P51" i="1" s="1"/>
  <c r="L51" i="1"/>
  <c r="M51" i="1" s="1"/>
  <c r="I51" i="1"/>
  <c r="J51" i="1" s="1"/>
  <c r="F51" i="1"/>
  <c r="G51" i="1" s="1"/>
  <c r="C51" i="1"/>
  <c r="D51" i="1" s="1"/>
  <c r="AA50" i="1"/>
  <c r="AB50" i="1" s="1"/>
  <c r="Z50" i="1"/>
  <c r="X50" i="1"/>
  <c r="W50" i="1"/>
  <c r="U50" i="1"/>
  <c r="T50" i="1"/>
  <c r="R50" i="1"/>
  <c r="Q50" i="1"/>
  <c r="S50" i="1" s="1"/>
  <c r="P50" i="1"/>
  <c r="O50" i="1"/>
  <c r="N50" i="1"/>
  <c r="L50" i="1"/>
  <c r="M50" i="1" s="1"/>
  <c r="K50" i="1"/>
  <c r="I50" i="1"/>
  <c r="H50" i="1"/>
  <c r="F50" i="1"/>
  <c r="E50" i="1"/>
  <c r="C50" i="1"/>
  <c r="B50" i="1"/>
  <c r="D50" i="1" s="1"/>
  <c r="AC49" i="1"/>
  <c r="AA49" i="1"/>
  <c r="AB49" i="1" s="1"/>
  <c r="X49" i="1"/>
  <c r="Y49" i="1" s="1"/>
  <c r="U49" i="1"/>
  <c r="V49" i="1" s="1"/>
  <c r="R49" i="1"/>
  <c r="S49" i="1" s="1"/>
  <c r="O49" i="1"/>
  <c r="P49" i="1" s="1"/>
  <c r="L49" i="1"/>
  <c r="M49" i="1" s="1"/>
  <c r="I49" i="1"/>
  <c r="J49" i="1" s="1"/>
  <c r="G49" i="1"/>
  <c r="F49" i="1"/>
  <c r="C49" i="1"/>
  <c r="D49" i="1" s="1"/>
  <c r="AA48" i="1"/>
  <c r="AB48" i="1" s="1"/>
  <c r="Z48" i="1"/>
  <c r="T48" i="1"/>
  <c r="N48" i="1"/>
  <c r="K48" i="1"/>
  <c r="H48" i="1"/>
  <c r="E48" i="1"/>
  <c r="B48" i="1"/>
  <c r="AC47" i="1"/>
  <c r="AA47" i="1"/>
  <c r="AB47" i="1" s="1"/>
  <c r="X47" i="1"/>
  <c r="X48" i="1" s="1"/>
  <c r="W47" i="1"/>
  <c r="U47" i="1"/>
  <c r="R47" i="1"/>
  <c r="R48" i="1" s="1"/>
  <c r="Q47" i="1"/>
  <c r="O47" i="1"/>
  <c r="O48" i="1" s="1"/>
  <c r="P48" i="1" s="1"/>
  <c r="L47" i="1"/>
  <c r="M47" i="1" s="1"/>
  <c r="I47" i="1"/>
  <c r="I48" i="1" s="1"/>
  <c r="F47" i="1"/>
  <c r="F48" i="1" s="1"/>
  <c r="C47" i="1"/>
  <c r="AD46" i="1"/>
  <c r="AC46" i="1"/>
  <c r="AE46" i="1" s="1"/>
  <c r="AB46" i="1"/>
  <c r="Y46" i="1"/>
  <c r="V46" i="1"/>
  <c r="S46" i="1"/>
  <c r="P46" i="1"/>
  <c r="M46" i="1"/>
  <c r="J46" i="1"/>
  <c r="G46" i="1"/>
  <c r="D46" i="1"/>
  <c r="AA45" i="1"/>
  <c r="AB45" i="1" s="1"/>
  <c r="Z45" i="1"/>
  <c r="X45" i="1"/>
  <c r="W45" i="1"/>
  <c r="U45" i="1"/>
  <c r="V45" i="1" s="1"/>
  <c r="R45" i="1"/>
  <c r="S45" i="1" s="1"/>
  <c r="O45" i="1"/>
  <c r="P45" i="1" s="1"/>
  <c r="M45" i="1"/>
  <c r="L45" i="1"/>
  <c r="I45" i="1"/>
  <c r="J45" i="1" s="1"/>
  <c r="F45" i="1"/>
  <c r="G45" i="1" s="1"/>
  <c r="E45" i="1"/>
  <c r="AC45" i="1" s="1"/>
  <c r="C45" i="1"/>
  <c r="D45" i="1" s="1"/>
  <c r="AB44" i="1"/>
  <c r="AA44" i="1"/>
  <c r="X44" i="1"/>
  <c r="W44" i="1"/>
  <c r="U44" i="1"/>
  <c r="T44" i="1"/>
  <c r="R44" i="1"/>
  <c r="S44" i="1" s="1"/>
  <c r="O44" i="1"/>
  <c r="P44" i="1" s="1"/>
  <c r="L44" i="1"/>
  <c r="K44" i="1"/>
  <c r="M44" i="1" s="1"/>
  <c r="I44" i="1"/>
  <c r="J44" i="1" s="1"/>
  <c r="H44" i="1"/>
  <c r="F44" i="1"/>
  <c r="C44" i="1"/>
  <c r="D44" i="1" s="1"/>
  <c r="B44" i="1"/>
  <c r="AA43" i="1"/>
  <c r="Z43" i="1"/>
  <c r="AB43" i="1" s="1"/>
  <c r="X43" i="1"/>
  <c r="W43" i="1"/>
  <c r="U43" i="1"/>
  <c r="V43" i="1" s="1"/>
  <c r="R43" i="1"/>
  <c r="Q43" i="1"/>
  <c r="S43" i="1" s="1"/>
  <c r="O43" i="1"/>
  <c r="N43" i="1"/>
  <c r="L43" i="1"/>
  <c r="M43" i="1" s="1"/>
  <c r="I43" i="1"/>
  <c r="H43" i="1"/>
  <c r="F43" i="1"/>
  <c r="E43" i="1"/>
  <c r="D43" i="1"/>
  <c r="C43" i="1"/>
  <c r="B43" i="1"/>
  <c r="AB42" i="1"/>
  <c r="AA42" i="1"/>
  <c r="X42" i="1"/>
  <c r="Y42" i="1" s="1"/>
  <c r="U42" i="1"/>
  <c r="V42" i="1" s="1"/>
  <c r="S42" i="1"/>
  <c r="R42" i="1"/>
  <c r="O42" i="1"/>
  <c r="P42" i="1" s="1"/>
  <c r="N42" i="1"/>
  <c r="L42" i="1"/>
  <c r="M42" i="1" s="1"/>
  <c r="I42" i="1"/>
  <c r="H42" i="1"/>
  <c r="F42" i="1"/>
  <c r="G42" i="1" s="1"/>
  <c r="C42" i="1"/>
  <c r="AA41" i="1"/>
  <c r="AB41" i="1" s="1"/>
  <c r="Y41" i="1"/>
  <c r="X41" i="1"/>
  <c r="U41" i="1"/>
  <c r="T41" i="1"/>
  <c r="R41" i="1"/>
  <c r="S41" i="1" s="1"/>
  <c r="O41" i="1"/>
  <c r="P41" i="1" s="1"/>
  <c r="L41" i="1"/>
  <c r="K41" i="1"/>
  <c r="I41" i="1"/>
  <c r="J41" i="1" s="1"/>
  <c r="G41" i="1"/>
  <c r="F41" i="1"/>
  <c r="C41" i="1"/>
  <c r="B41" i="1"/>
  <c r="AA40" i="1"/>
  <c r="AB40" i="1" s="1"/>
  <c r="Z40" i="1"/>
  <c r="X40" i="1"/>
  <c r="W40" i="1"/>
  <c r="U40" i="1"/>
  <c r="T40" i="1"/>
  <c r="R40" i="1"/>
  <c r="Q40" i="1"/>
  <c r="S40" i="1" s="1"/>
  <c r="O40" i="1"/>
  <c r="N40" i="1"/>
  <c r="L40" i="1"/>
  <c r="K40" i="1"/>
  <c r="M40" i="1" s="1"/>
  <c r="I40" i="1"/>
  <c r="H40" i="1"/>
  <c r="J40" i="1" s="1"/>
  <c r="F40" i="1"/>
  <c r="G40" i="1" s="1"/>
  <c r="E40" i="1"/>
  <c r="C40" i="1"/>
  <c r="B40" i="1"/>
  <c r="AD39" i="1"/>
  <c r="AA39" i="1"/>
  <c r="Z39" i="1"/>
  <c r="AB39" i="1" s="1"/>
  <c r="X39" i="1"/>
  <c r="Y39" i="1" s="1"/>
  <c r="W39" i="1"/>
  <c r="U39" i="1"/>
  <c r="T39" i="1"/>
  <c r="R39" i="1"/>
  <c r="Q39" i="1"/>
  <c r="O39" i="1"/>
  <c r="N39" i="1"/>
  <c r="P39" i="1" s="1"/>
  <c r="M39" i="1"/>
  <c r="L39" i="1"/>
  <c r="K39" i="1"/>
  <c r="I39" i="1"/>
  <c r="H39" i="1"/>
  <c r="F39" i="1"/>
  <c r="E39" i="1"/>
  <c r="C39" i="1"/>
  <c r="B39" i="1"/>
  <c r="AC38" i="1"/>
  <c r="AA38" i="1"/>
  <c r="AB38" i="1" s="1"/>
  <c r="X38" i="1"/>
  <c r="Y38" i="1" s="1"/>
  <c r="U38" i="1"/>
  <c r="V38" i="1" s="1"/>
  <c r="R38" i="1"/>
  <c r="S38" i="1" s="1"/>
  <c r="O38" i="1"/>
  <c r="P38" i="1" s="1"/>
  <c r="M38" i="1"/>
  <c r="L38" i="1"/>
  <c r="I38" i="1"/>
  <c r="J38" i="1" s="1"/>
  <c r="G38" i="1"/>
  <c r="F38" i="1"/>
  <c r="C38" i="1"/>
  <c r="AC37" i="1"/>
  <c r="AB37" i="1"/>
  <c r="AA37" i="1"/>
  <c r="X37" i="1"/>
  <c r="Y37" i="1" s="1"/>
  <c r="U37" i="1"/>
  <c r="V37" i="1" s="1"/>
  <c r="R37" i="1"/>
  <c r="S37" i="1" s="1"/>
  <c r="O37" i="1"/>
  <c r="P37" i="1" s="1"/>
  <c r="L37" i="1"/>
  <c r="M37" i="1" s="1"/>
  <c r="I37" i="1"/>
  <c r="J37" i="1" s="1"/>
  <c r="F37" i="1"/>
  <c r="G37" i="1" s="1"/>
  <c r="D37" i="1"/>
  <c r="C37" i="1"/>
  <c r="AA36" i="1"/>
  <c r="Z36" i="1"/>
  <c r="X36" i="1"/>
  <c r="W36" i="1"/>
  <c r="Y36" i="1" s="1"/>
  <c r="U36" i="1"/>
  <c r="T36" i="1"/>
  <c r="R36" i="1"/>
  <c r="Q36" i="1"/>
  <c r="S36" i="1" s="1"/>
  <c r="O36" i="1"/>
  <c r="P36" i="1" s="1"/>
  <c r="L36" i="1"/>
  <c r="K36" i="1"/>
  <c r="I36" i="1"/>
  <c r="H36" i="1"/>
  <c r="F36" i="1"/>
  <c r="E36" i="1"/>
  <c r="G36" i="1" s="1"/>
  <c r="C36" i="1"/>
  <c r="B36" i="1"/>
  <c r="D36" i="1" s="1"/>
  <c r="AA35" i="1"/>
  <c r="Z35" i="1"/>
  <c r="X35" i="1"/>
  <c r="W35" i="1"/>
  <c r="Y35" i="1" s="1"/>
  <c r="V35" i="1"/>
  <c r="U35" i="1"/>
  <c r="T35" i="1"/>
  <c r="S35" i="1"/>
  <c r="R35" i="1"/>
  <c r="Q35" i="1"/>
  <c r="O35" i="1"/>
  <c r="N35" i="1"/>
  <c r="P35" i="1" s="1"/>
  <c r="L35" i="1"/>
  <c r="K35" i="1"/>
  <c r="I35" i="1"/>
  <c r="H35" i="1"/>
  <c r="J35" i="1" s="1"/>
  <c r="F35" i="1"/>
  <c r="G35" i="1" s="1"/>
  <c r="E35" i="1"/>
  <c r="C35" i="1"/>
  <c r="B35" i="1"/>
  <c r="AB34" i="1"/>
  <c r="AA34" i="1"/>
  <c r="X34" i="1"/>
  <c r="W34" i="1"/>
  <c r="Y34" i="1" s="1"/>
  <c r="V34" i="1"/>
  <c r="U34" i="1"/>
  <c r="R34" i="1"/>
  <c r="S34" i="1" s="1"/>
  <c r="P34" i="1"/>
  <c r="O34" i="1"/>
  <c r="L34" i="1"/>
  <c r="M34" i="1" s="1"/>
  <c r="I34" i="1"/>
  <c r="J34" i="1" s="1"/>
  <c r="F34" i="1"/>
  <c r="G34" i="1" s="1"/>
  <c r="C34" i="1"/>
  <c r="D34" i="1" s="1"/>
  <c r="AA33" i="1"/>
  <c r="Z33" i="1"/>
  <c r="X33" i="1"/>
  <c r="W33" i="1"/>
  <c r="Y33" i="1" s="1"/>
  <c r="U33" i="1"/>
  <c r="V33" i="1" s="1"/>
  <c r="T33" i="1"/>
  <c r="R33" i="1"/>
  <c r="Q33" i="1"/>
  <c r="S33" i="1" s="1"/>
  <c r="O33" i="1"/>
  <c r="N33" i="1"/>
  <c r="L33" i="1"/>
  <c r="K33" i="1"/>
  <c r="M33" i="1" s="1"/>
  <c r="I33" i="1"/>
  <c r="J33" i="1" s="1"/>
  <c r="H33" i="1"/>
  <c r="F33" i="1"/>
  <c r="G33" i="1" s="1"/>
  <c r="E33" i="1"/>
  <c r="C33" i="1"/>
  <c r="B33" i="1"/>
  <c r="AA32" i="1"/>
  <c r="AB32" i="1" s="1"/>
  <c r="Z32" i="1"/>
  <c r="X32" i="1"/>
  <c r="Y32" i="1" s="1"/>
  <c r="U32" i="1"/>
  <c r="V32" i="1" s="1"/>
  <c r="R32" i="1"/>
  <c r="Q32" i="1"/>
  <c r="O32" i="1"/>
  <c r="P32" i="1" s="1"/>
  <c r="L32" i="1"/>
  <c r="M32" i="1" s="1"/>
  <c r="I32" i="1"/>
  <c r="H32" i="1"/>
  <c r="F32" i="1"/>
  <c r="E32" i="1"/>
  <c r="C32" i="1"/>
  <c r="AB31" i="1"/>
  <c r="AA31" i="1"/>
  <c r="X31" i="1"/>
  <c r="Y31" i="1" s="1"/>
  <c r="U31" i="1"/>
  <c r="V31" i="1" s="1"/>
  <c r="R31" i="1"/>
  <c r="S31" i="1" s="1"/>
  <c r="P31" i="1"/>
  <c r="O31" i="1"/>
  <c r="L31" i="1"/>
  <c r="M31" i="1" s="1"/>
  <c r="J31" i="1"/>
  <c r="I31" i="1"/>
  <c r="F31" i="1"/>
  <c r="E31" i="1"/>
  <c r="AC31" i="1" s="1"/>
  <c r="C31" i="1"/>
  <c r="D31" i="1" s="1"/>
  <c r="AA30" i="1"/>
  <c r="AB30" i="1" s="1"/>
  <c r="X30" i="1"/>
  <c r="Y30" i="1" s="1"/>
  <c r="U30" i="1"/>
  <c r="V30" i="1" s="1"/>
  <c r="S30" i="1"/>
  <c r="R30" i="1"/>
  <c r="O30" i="1"/>
  <c r="P30" i="1" s="1"/>
  <c r="M30" i="1"/>
  <c r="L30" i="1"/>
  <c r="I30" i="1"/>
  <c r="J30" i="1" s="1"/>
  <c r="F30" i="1"/>
  <c r="G30" i="1" s="1"/>
  <c r="E30" i="1"/>
  <c r="C30" i="1"/>
  <c r="B30" i="1"/>
  <c r="AC30" i="1" s="1"/>
  <c r="AC29" i="1"/>
  <c r="AA29" i="1"/>
  <c r="AB29" i="1" s="1"/>
  <c r="X29" i="1"/>
  <c r="Y29" i="1" s="1"/>
  <c r="U29" i="1"/>
  <c r="V29" i="1" s="1"/>
  <c r="S29" i="1"/>
  <c r="R29" i="1"/>
  <c r="O29" i="1"/>
  <c r="P29" i="1" s="1"/>
  <c r="L29" i="1"/>
  <c r="M29" i="1" s="1"/>
  <c r="I29" i="1"/>
  <c r="J29" i="1" s="1"/>
  <c r="F29" i="1"/>
  <c r="G29" i="1" s="1"/>
  <c r="C29" i="1"/>
  <c r="AA28" i="1"/>
  <c r="Z28" i="1"/>
  <c r="X28" i="1"/>
  <c r="W28" i="1"/>
  <c r="U28" i="1"/>
  <c r="V28" i="1" s="1"/>
  <c r="R28" i="1"/>
  <c r="Q28" i="1"/>
  <c r="O28" i="1"/>
  <c r="N28" i="1"/>
  <c r="L28" i="1"/>
  <c r="K28" i="1"/>
  <c r="I28" i="1"/>
  <c r="G28" i="1"/>
  <c r="F28" i="1"/>
  <c r="C28" i="1"/>
  <c r="B28" i="1"/>
  <c r="L24" i="1"/>
  <c r="AA23" i="1"/>
  <c r="AB23" i="1" s="1"/>
  <c r="X23" i="1"/>
  <c r="Y23" i="1" s="1"/>
  <c r="U23" i="1"/>
  <c r="V23" i="1" s="1"/>
  <c r="R23" i="1"/>
  <c r="Q23" i="1"/>
  <c r="S23" i="1" s="1"/>
  <c r="O23" i="1"/>
  <c r="P23" i="1" s="1"/>
  <c r="L23" i="1"/>
  <c r="K23" i="1"/>
  <c r="M23" i="1" s="1"/>
  <c r="J23" i="1"/>
  <c r="I23" i="1"/>
  <c r="F23" i="1"/>
  <c r="G23" i="1" s="1"/>
  <c r="C23" i="1"/>
  <c r="D23" i="1" s="1"/>
  <c r="B23" i="1"/>
  <c r="AA22" i="1"/>
  <c r="Z22" i="1"/>
  <c r="AB22" i="1" s="1"/>
  <c r="X22" i="1"/>
  <c r="W22" i="1"/>
  <c r="U22" i="1"/>
  <c r="T22" i="1"/>
  <c r="V22" i="1" s="1"/>
  <c r="R22" i="1"/>
  <c r="S22" i="1" s="1"/>
  <c r="Q22" i="1"/>
  <c r="O22" i="1"/>
  <c r="N22" i="1"/>
  <c r="L22" i="1"/>
  <c r="K22" i="1"/>
  <c r="I22" i="1"/>
  <c r="J22" i="1" s="1"/>
  <c r="H22" i="1"/>
  <c r="F22" i="1"/>
  <c r="E22" i="1"/>
  <c r="C22" i="1"/>
  <c r="B22" i="1"/>
  <c r="AB21" i="1"/>
  <c r="AA21" i="1"/>
  <c r="Z21" i="1"/>
  <c r="X21" i="1"/>
  <c r="X24" i="1" s="1"/>
  <c r="W21" i="1"/>
  <c r="Y21" i="1" s="1"/>
  <c r="U21" i="1"/>
  <c r="V21" i="1" s="1"/>
  <c r="R21" i="1"/>
  <c r="S21" i="1" s="1"/>
  <c r="O21" i="1"/>
  <c r="N21" i="1"/>
  <c r="L21" i="1"/>
  <c r="M21" i="1" s="1"/>
  <c r="I21" i="1"/>
  <c r="J21" i="1" s="1"/>
  <c r="F21" i="1"/>
  <c r="E21" i="1"/>
  <c r="G21" i="1" s="1"/>
  <c r="C21" i="1"/>
  <c r="B21" i="1"/>
  <c r="AA20" i="1"/>
  <c r="Z20" i="1"/>
  <c r="X20" i="1"/>
  <c r="W20" i="1"/>
  <c r="U20" i="1"/>
  <c r="T20" i="1"/>
  <c r="R20" i="1"/>
  <c r="Q20" i="1"/>
  <c r="Q24" i="1" s="1"/>
  <c r="O20" i="1"/>
  <c r="N20" i="1"/>
  <c r="L20" i="1"/>
  <c r="M20" i="1" s="1"/>
  <c r="I20" i="1"/>
  <c r="I24" i="1" s="1"/>
  <c r="H20" i="1"/>
  <c r="H24" i="1" s="1"/>
  <c r="F20" i="1"/>
  <c r="F24" i="1" s="1"/>
  <c r="E20" i="1"/>
  <c r="E24" i="1" s="1"/>
  <c r="C20" i="1"/>
  <c r="C24" i="1" s="1"/>
  <c r="B20" i="1"/>
  <c r="AD19" i="1"/>
  <c r="AC19" i="1"/>
  <c r="AE19" i="1" s="1"/>
  <c r="AB19" i="1"/>
  <c r="Y19" i="1"/>
  <c r="V19" i="1"/>
  <c r="S19" i="1"/>
  <c r="P19" i="1"/>
  <c r="M19" i="1"/>
  <c r="J19" i="1"/>
  <c r="G19" i="1"/>
  <c r="D19" i="1"/>
  <c r="AC18" i="1"/>
  <c r="AA18" i="1"/>
  <c r="AB18" i="1" s="1"/>
  <c r="Y18" i="1"/>
  <c r="X18" i="1"/>
  <c r="U18" i="1"/>
  <c r="V18" i="1" s="1"/>
  <c r="R18" i="1"/>
  <c r="S18" i="1" s="1"/>
  <c r="O18" i="1"/>
  <c r="P18" i="1" s="1"/>
  <c r="L18" i="1"/>
  <c r="M18" i="1" s="1"/>
  <c r="I18" i="1"/>
  <c r="J18" i="1" s="1"/>
  <c r="F18" i="1"/>
  <c r="G18" i="1" s="1"/>
  <c r="C18" i="1"/>
  <c r="AC17" i="1"/>
  <c r="AA17" i="1"/>
  <c r="AB17" i="1" s="1"/>
  <c r="X17" i="1"/>
  <c r="Y17" i="1" s="1"/>
  <c r="U17" i="1"/>
  <c r="V17" i="1" s="1"/>
  <c r="R17" i="1"/>
  <c r="S17" i="1" s="1"/>
  <c r="P17" i="1"/>
  <c r="O17" i="1"/>
  <c r="L17" i="1"/>
  <c r="M17" i="1" s="1"/>
  <c r="I17" i="1"/>
  <c r="J17" i="1" s="1"/>
  <c r="F17" i="1"/>
  <c r="G17" i="1" s="1"/>
  <c r="C17" i="1"/>
  <c r="AC16" i="1"/>
  <c r="AB16" i="1"/>
  <c r="AA16" i="1"/>
  <c r="X16" i="1"/>
  <c r="U16" i="1"/>
  <c r="V16" i="1" s="1"/>
  <c r="R16" i="1"/>
  <c r="O16" i="1"/>
  <c r="P16" i="1" s="1"/>
  <c r="L16" i="1"/>
  <c r="J16" i="1"/>
  <c r="I16" i="1"/>
  <c r="F16" i="1"/>
  <c r="D16" i="1"/>
  <c r="C16" i="1"/>
  <c r="AA13" i="1"/>
  <c r="Z13" i="1"/>
  <c r="X13" i="1"/>
  <c r="W13" i="1"/>
  <c r="U13" i="1"/>
  <c r="T13" i="1"/>
  <c r="V13" i="1" s="1"/>
  <c r="S13" i="1"/>
  <c r="R13" i="1"/>
  <c r="Q13" i="1"/>
  <c r="O13" i="1"/>
  <c r="N13" i="1"/>
  <c r="L13" i="1"/>
  <c r="K13" i="1"/>
  <c r="M13" i="1" s="1"/>
  <c r="I13" i="1"/>
  <c r="H13" i="1"/>
  <c r="J13" i="1" s="1"/>
  <c r="F13" i="1"/>
  <c r="E13" i="1"/>
  <c r="C13" i="1"/>
  <c r="B13" i="1"/>
  <c r="AA12" i="1"/>
  <c r="Z12" i="1"/>
  <c r="AB12" i="1" s="1"/>
  <c r="Y12" i="1"/>
  <c r="X12" i="1"/>
  <c r="W12" i="1"/>
  <c r="U12" i="1"/>
  <c r="T12" i="1"/>
  <c r="R12" i="1"/>
  <c r="Q12" i="1"/>
  <c r="S12" i="1" s="1"/>
  <c r="O12" i="1"/>
  <c r="N12" i="1"/>
  <c r="P12" i="1" s="1"/>
  <c r="L12" i="1"/>
  <c r="K12" i="1"/>
  <c r="M12" i="1" s="1"/>
  <c r="I12" i="1"/>
  <c r="J12" i="1" s="1"/>
  <c r="H12" i="1"/>
  <c r="F12" i="1"/>
  <c r="E12" i="1"/>
  <c r="G12" i="1" s="1"/>
  <c r="C12" i="1"/>
  <c r="B12" i="1"/>
  <c r="AA11" i="1"/>
  <c r="Z11" i="1"/>
  <c r="X11" i="1"/>
  <c r="W11" i="1"/>
  <c r="U11" i="1"/>
  <c r="T11" i="1"/>
  <c r="V11" i="1" s="1"/>
  <c r="S11" i="1"/>
  <c r="R11" i="1"/>
  <c r="Q11" i="1"/>
  <c r="O11" i="1"/>
  <c r="P11" i="1" s="1"/>
  <c r="N11" i="1"/>
  <c r="L11" i="1"/>
  <c r="K11" i="1"/>
  <c r="M11" i="1" s="1"/>
  <c r="I11" i="1"/>
  <c r="H11" i="1"/>
  <c r="F11" i="1"/>
  <c r="E11" i="1"/>
  <c r="C11" i="1"/>
  <c r="AD11" i="1" s="1"/>
  <c r="B11" i="1"/>
  <c r="AA10" i="1"/>
  <c r="Z10" i="1"/>
  <c r="AB10" i="1" s="1"/>
  <c r="Y10" i="1"/>
  <c r="X10" i="1"/>
  <c r="W10" i="1"/>
  <c r="U10" i="1"/>
  <c r="T10" i="1"/>
  <c r="R10" i="1"/>
  <c r="Q10" i="1"/>
  <c r="S10" i="1" s="1"/>
  <c r="O10" i="1"/>
  <c r="N10" i="1"/>
  <c r="P10" i="1" s="1"/>
  <c r="L10" i="1"/>
  <c r="K10" i="1"/>
  <c r="M10" i="1" s="1"/>
  <c r="I10" i="1"/>
  <c r="J10" i="1" s="1"/>
  <c r="H10" i="1"/>
  <c r="F10" i="1"/>
  <c r="E10" i="1"/>
  <c r="G10" i="1" s="1"/>
  <c r="C10" i="1"/>
  <c r="B10" i="1"/>
  <c r="AA9" i="1"/>
  <c r="Z9" i="1"/>
  <c r="X9" i="1"/>
  <c r="W9" i="1"/>
  <c r="W14" i="1" s="1"/>
  <c r="U9" i="1"/>
  <c r="T9" i="1"/>
  <c r="S9" i="1"/>
  <c r="R9" i="1"/>
  <c r="Q9" i="1"/>
  <c r="O9" i="1"/>
  <c r="N9" i="1"/>
  <c r="L9" i="1"/>
  <c r="K9" i="1"/>
  <c r="I9" i="1"/>
  <c r="H9" i="1"/>
  <c r="H14" i="1" s="1"/>
  <c r="F9" i="1"/>
  <c r="E9" i="1"/>
  <c r="C9" i="1"/>
  <c r="B9" i="1"/>
  <c r="AC8" i="1"/>
  <c r="AA8" i="1"/>
  <c r="AB8" i="1" s="1"/>
  <c r="X8" i="1"/>
  <c r="U8" i="1"/>
  <c r="V8" i="1" s="1"/>
  <c r="R8" i="1"/>
  <c r="R14" i="1" s="1"/>
  <c r="O8" i="1"/>
  <c r="L8" i="1"/>
  <c r="L14" i="1" s="1"/>
  <c r="I8" i="1"/>
  <c r="J8" i="1" s="1"/>
  <c r="F8" i="1"/>
  <c r="D8" i="1"/>
  <c r="AC21" i="1" l="1"/>
  <c r="J39" i="1"/>
  <c r="X14" i="1"/>
  <c r="Y14" i="1" s="1"/>
  <c r="P9" i="1"/>
  <c r="AD13" i="1"/>
  <c r="P13" i="1"/>
  <c r="AB28" i="1"/>
  <c r="AE18" i="1"/>
  <c r="V10" i="1"/>
  <c r="AC11" i="1"/>
  <c r="G11" i="1"/>
  <c r="AD18" i="1"/>
  <c r="AD36" i="1"/>
  <c r="AC36" i="1"/>
  <c r="AE36" i="1" s="1"/>
  <c r="W48" i="1"/>
  <c r="Y48" i="1" s="1"/>
  <c r="Y47" i="1"/>
  <c r="AD51" i="1"/>
  <c r="AD9" i="1"/>
  <c r="AE9" i="1" s="1"/>
  <c r="T14" i="1"/>
  <c r="T26" i="1" s="1"/>
  <c r="AD16" i="1"/>
  <c r="AD21" i="1"/>
  <c r="AD22" i="1"/>
  <c r="V41" i="1"/>
  <c r="Q48" i="1"/>
  <c r="S48" i="1" s="1"/>
  <c r="S47" i="1"/>
  <c r="AC51" i="1"/>
  <c r="AE51" i="1" s="1"/>
  <c r="Y51" i="1"/>
  <c r="AC9" i="1"/>
  <c r="G9" i="1"/>
  <c r="J11" i="1"/>
  <c r="V12" i="1"/>
  <c r="AC13" i="1"/>
  <c r="G13" i="1"/>
  <c r="T24" i="1"/>
  <c r="T25" i="1" s="1"/>
  <c r="V20" i="1"/>
  <c r="D21" i="1"/>
  <c r="M36" i="1"/>
  <c r="R57" i="1"/>
  <c r="R63" i="1" s="1"/>
  <c r="Z62" i="1"/>
  <c r="Z63" i="1" s="1"/>
  <c r="AB58" i="1"/>
  <c r="L48" i="1"/>
  <c r="M48" i="1" s="1"/>
  <c r="I57" i="1"/>
  <c r="I63" i="1" s="1"/>
  <c r="K14" i="1"/>
  <c r="AB9" i="1"/>
  <c r="AD10" i="1"/>
  <c r="AB11" i="1"/>
  <c r="AD12" i="1"/>
  <c r="AB13" i="1"/>
  <c r="AD17" i="1"/>
  <c r="AE17" i="1" s="1"/>
  <c r="AA24" i="1"/>
  <c r="G22" i="1"/>
  <c r="D30" i="1"/>
  <c r="AD31" i="1"/>
  <c r="AD33" i="1"/>
  <c r="V39" i="1"/>
  <c r="Y45" i="1"/>
  <c r="Y50" i="1"/>
  <c r="AB54" i="1"/>
  <c r="F57" i="1"/>
  <c r="G57" i="1" s="1"/>
  <c r="S55" i="1"/>
  <c r="X62" i="1"/>
  <c r="Y62" i="1" s="1"/>
  <c r="F62" i="1"/>
  <c r="AB59" i="1"/>
  <c r="V55" i="1"/>
  <c r="AD58" i="1"/>
  <c r="AD8" i="1"/>
  <c r="D10" i="1"/>
  <c r="Y11" i="1"/>
  <c r="D12" i="1"/>
  <c r="Y13" i="1"/>
  <c r="C25" i="1"/>
  <c r="R25" i="1"/>
  <c r="R26" i="1" s="1"/>
  <c r="AA25" i="1"/>
  <c r="F25" i="1"/>
  <c r="R24" i="1"/>
  <c r="S24" i="1" s="1"/>
  <c r="P21" i="1"/>
  <c r="Y22" i="1"/>
  <c r="AC23" i="1"/>
  <c r="M28" i="1"/>
  <c r="O63" i="1"/>
  <c r="AB33" i="1"/>
  <c r="M35" i="1"/>
  <c r="AB35" i="1"/>
  <c r="V36" i="1"/>
  <c r="AB36" i="1"/>
  <c r="S39" i="1"/>
  <c r="P40" i="1"/>
  <c r="J43" i="1"/>
  <c r="P43" i="1"/>
  <c r="AD43" i="1"/>
  <c r="AC44" i="1"/>
  <c r="AE44" i="1" s="1"/>
  <c r="V44" i="1"/>
  <c r="G48" i="1"/>
  <c r="P47" i="1"/>
  <c r="G50" i="1"/>
  <c r="V50" i="1"/>
  <c r="G54" i="1"/>
  <c r="M56" i="1"/>
  <c r="S56" i="1"/>
  <c r="O62" i="1"/>
  <c r="Y58" i="1"/>
  <c r="B62" i="1"/>
  <c r="Y59" i="1"/>
  <c r="R62" i="1"/>
  <c r="M61" i="1"/>
  <c r="V61" i="1"/>
  <c r="AB61" i="1"/>
  <c r="M14" i="1"/>
  <c r="AE8" i="1"/>
  <c r="AE11" i="1"/>
  <c r="AE13" i="1"/>
  <c r="AE16" i="1"/>
  <c r="AC10" i="1"/>
  <c r="AE10" i="1" s="1"/>
  <c r="E14" i="1"/>
  <c r="U14" i="1"/>
  <c r="AC34" i="1"/>
  <c r="U48" i="1"/>
  <c r="V47" i="1"/>
  <c r="Y57" i="1"/>
  <c r="S8" i="1"/>
  <c r="F14" i="1"/>
  <c r="F26" i="1" s="1"/>
  <c r="Z14" i="1"/>
  <c r="D17" i="1"/>
  <c r="AD28" i="1"/>
  <c r="AC32" i="1"/>
  <c r="AE32" i="1" s="1"/>
  <c r="G32" i="1"/>
  <c r="P54" i="1"/>
  <c r="M9" i="1"/>
  <c r="O14" i="1"/>
  <c r="AA14" i="1"/>
  <c r="AA26" i="1" s="1"/>
  <c r="G16" i="1"/>
  <c r="S16" i="1"/>
  <c r="D18" i="1"/>
  <c r="N24" i="1"/>
  <c r="P20" i="1"/>
  <c r="S20" i="1"/>
  <c r="W24" i="1"/>
  <c r="Y20" i="1"/>
  <c r="AD20" i="1"/>
  <c r="AD23" i="1"/>
  <c r="AE23" i="1" s="1"/>
  <c r="H25" i="1"/>
  <c r="J24" i="1"/>
  <c r="S28" i="1"/>
  <c r="Y28" i="1"/>
  <c r="AD30" i="1"/>
  <c r="AE30" i="1" s="1"/>
  <c r="AE31" i="1"/>
  <c r="AD35" i="1"/>
  <c r="AC40" i="1"/>
  <c r="AD49" i="1"/>
  <c r="AE49" i="1" s="1"/>
  <c r="AD52" i="1"/>
  <c r="AE52" i="1" s="1"/>
  <c r="G52" i="1"/>
  <c r="L62" i="1"/>
  <c r="M58" i="1"/>
  <c r="L63" i="1"/>
  <c r="AC12" i="1"/>
  <c r="AE12" i="1" s="1"/>
  <c r="I14" i="1"/>
  <c r="J14" i="1" s="1"/>
  <c r="Q14" i="1"/>
  <c r="Z24" i="1"/>
  <c r="AB20" i="1"/>
  <c r="B63" i="1"/>
  <c r="AC28" i="1"/>
  <c r="AE28" i="1" s="1"/>
  <c r="D28" i="1"/>
  <c r="J28" i="1"/>
  <c r="D39" i="1"/>
  <c r="AC39" i="1"/>
  <c r="AE39" i="1" s="1"/>
  <c r="D41" i="1"/>
  <c r="AC41" i="1"/>
  <c r="D42" i="1"/>
  <c r="AD42" i="1"/>
  <c r="D60" i="1"/>
  <c r="AC60" i="1"/>
  <c r="G8" i="1"/>
  <c r="M8" i="1"/>
  <c r="Y8" i="1"/>
  <c r="D9" i="1"/>
  <c r="D11" i="1"/>
  <c r="D13" i="1"/>
  <c r="B14" i="1"/>
  <c r="N14" i="1"/>
  <c r="L25" i="1"/>
  <c r="L26" i="1" s="1"/>
  <c r="L64" i="1" s="1"/>
  <c r="L65" i="1" s="1"/>
  <c r="X25" i="1"/>
  <c r="AC20" i="1"/>
  <c r="D20" i="1"/>
  <c r="B24" i="1"/>
  <c r="AC22" i="1"/>
  <c r="D22" i="1"/>
  <c r="K24" i="1"/>
  <c r="M22" i="1"/>
  <c r="E25" i="1"/>
  <c r="G25" i="1" s="1"/>
  <c r="G24" i="1"/>
  <c r="U24" i="1"/>
  <c r="O25" i="1"/>
  <c r="AD38" i="1"/>
  <c r="AE38" i="1" s="1"/>
  <c r="D38" i="1"/>
  <c r="V40" i="1"/>
  <c r="J47" i="1"/>
  <c r="M54" i="1"/>
  <c r="K57" i="1"/>
  <c r="M57" i="1" s="1"/>
  <c r="V54" i="1"/>
  <c r="T57" i="1"/>
  <c r="AC61" i="1"/>
  <c r="Y9" i="1"/>
  <c r="C14" i="1"/>
  <c r="M16" i="1"/>
  <c r="Y16" i="1"/>
  <c r="J9" i="1"/>
  <c r="V9" i="1"/>
  <c r="I25" i="1"/>
  <c r="U25" i="1"/>
  <c r="G20" i="1"/>
  <c r="J20" i="1"/>
  <c r="O24" i="1"/>
  <c r="AD24" i="1" s="1"/>
  <c r="P22" i="1"/>
  <c r="Q25" i="1"/>
  <c r="S25" i="1" s="1"/>
  <c r="D29" i="1"/>
  <c r="AD29" i="1"/>
  <c r="AE29" i="1" s="1"/>
  <c r="G31" i="1"/>
  <c r="S32" i="1"/>
  <c r="D33" i="1"/>
  <c r="AC33" i="1"/>
  <c r="AE33" i="1" s="1"/>
  <c r="D55" i="1"/>
  <c r="AC55" i="1"/>
  <c r="AE55" i="1" s="1"/>
  <c r="P28" i="1"/>
  <c r="X63" i="1"/>
  <c r="AD32" i="1"/>
  <c r="AC35" i="1"/>
  <c r="D35" i="1"/>
  <c r="AD37" i="1"/>
  <c r="AE37" i="1" s="1"/>
  <c r="AD40" i="1"/>
  <c r="AD47" i="1"/>
  <c r="AE47" i="1" s="1"/>
  <c r="D47" i="1"/>
  <c r="J48" i="1"/>
  <c r="AC50" i="1"/>
  <c r="AC54" i="1"/>
  <c r="I62" i="1"/>
  <c r="T62" i="1"/>
  <c r="V62" i="1" s="1"/>
  <c r="V58" i="1"/>
  <c r="AC58" i="1"/>
  <c r="AE58" i="1" s="1"/>
  <c r="AD61" i="1"/>
  <c r="D61" i="1"/>
  <c r="D32" i="1"/>
  <c r="J32" i="1"/>
  <c r="P33" i="1"/>
  <c r="AD34" i="1"/>
  <c r="J36" i="1"/>
  <c r="G39" i="1"/>
  <c r="D40" i="1"/>
  <c r="Y40" i="1"/>
  <c r="AD41" i="1"/>
  <c r="M41" i="1"/>
  <c r="AC42" i="1"/>
  <c r="AE42" i="1" s="1"/>
  <c r="J42" i="1"/>
  <c r="Y43" i="1"/>
  <c r="C48" i="1"/>
  <c r="V56" i="1"/>
  <c r="AC56" i="1"/>
  <c r="K62" i="1"/>
  <c r="M62" i="1" s="1"/>
  <c r="AC59" i="1"/>
  <c r="D59" i="1"/>
  <c r="G59" i="1"/>
  <c r="AD60" i="1"/>
  <c r="S60" i="1"/>
  <c r="E62" i="1"/>
  <c r="G62" i="1" s="1"/>
  <c r="U63" i="1"/>
  <c r="G43" i="1"/>
  <c r="AD44" i="1"/>
  <c r="G44" i="1"/>
  <c r="Y44" i="1"/>
  <c r="AD54" i="1"/>
  <c r="L57" i="1"/>
  <c r="Q57" i="1"/>
  <c r="U57" i="1"/>
  <c r="AD56" i="1"/>
  <c r="C57" i="1"/>
  <c r="D57" i="1" s="1"/>
  <c r="AA57" i="1"/>
  <c r="AB57" i="1" s="1"/>
  <c r="C62" i="1"/>
  <c r="H62" i="1"/>
  <c r="J62" i="1" s="1"/>
  <c r="J58" i="1"/>
  <c r="AA62" i="1"/>
  <c r="AD59" i="1"/>
  <c r="N62" i="1"/>
  <c r="P62" i="1" s="1"/>
  <c r="AC43" i="1"/>
  <c r="AE43" i="1" s="1"/>
  <c r="AD45" i="1"/>
  <c r="AE45" i="1" s="1"/>
  <c r="V48" i="1"/>
  <c r="AD50" i="1"/>
  <c r="J50" i="1"/>
  <c r="AE53" i="1"/>
  <c r="D54" i="1"/>
  <c r="J54" i="1"/>
  <c r="H57" i="1"/>
  <c r="Y54" i="1"/>
  <c r="G55" i="1"/>
  <c r="D56" i="1"/>
  <c r="N57" i="1"/>
  <c r="P57" i="1" s="1"/>
  <c r="Q62" i="1"/>
  <c r="G47" i="1"/>
  <c r="R64" i="1" l="1"/>
  <c r="R65" i="1" s="1"/>
  <c r="AE56" i="1"/>
  <c r="AE54" i="1"/>
  <c r="AE41" i="1"/>
  <c r="J57" i="1"/>
  <c r="AB62" i="1"/>
  <c r="S57" i="1"/>
  <c r="F63" i="1"/>
  <c r="AE50" i="1"/>
  <c r="AE20" i="1"/>
  <c r="V24" i="1"/>
  <c r="S62" i="1"/>
  <c r="AC48" i="1"/>
  <c r="AD62" i="1"/>
  <c r="T63" i="1"/>
  <c r="V63" i="1" s="1"/>
  <c r="AA63" i="1"/>
  <c r="AA64" i="1" s="1"/>
  <c r="AA65" i="1" s="1"/>
  <c r="AE22" i="1"/>
  <c r="X26" i="1"/>
  <c r="X64" i="1" s="1"/>
  <c r="X65" i="1" s="1"/>
  <c r="W63" i="1"/>
  <c r="Y63" i="1" s="1"/>
  <c r="J25" i="1"/>
  <c r="U26" i="1"/>
  <c r="AE21" i="1"/>
  <c r="T64" i="1"/>
  <c r="V26" i="1"/>
  <c r="E63" i="1"/>
  <c r="N63" i="1"/>
  <c r="P63" i="1" s="1"/>
  <c r="S14" i="1"/>
  <c r="Q26" i="1"/>
  <c r="Y24" i="1"/>
  <c r="W25" i="1"/>
  <c r="AC57" i="1"/>
  <c r="U64" i="1"/>
  <c r="U65" i="1" s="1"/>
  <c r="V14" i="1"/>
  <c r="AD25" i="1"/>
  <c r="AD57" i="1"/>
  <c r="AE59" i="1"/>
  <c r="AD48" i="1"/>
  <c r="AE48" i="1" s="1"/>
  <c r="D48" i="1"/>
  <c r="AB63" i="1"/>
  <c r="AE61" i="1"/>
  <c r="K25" i="1"/>
  <c r="M24" i="1"/>
  <c r="P14" i="1"/>
  <c r="V25" i="1"/>
  <c r="I26" i="1"/>
  <c r="I64" i="1" s="1"/>
  <c r="I65" i="1" s="1"/>
  <c r="O26" i="1"/>
  <c r="O64" i="1" s="1"/>
  <c r="O65" i="1" s="1"/>
  <c r="F64" i="1"/>
  <c r="F65" i="1" s="1"/>
  <c r="E26" i="1"/>
  <c r="G14" i="1"/>
  <c r="AC62" i="1"/>
  <c r="AE62" i="1" s="1"/>
  <c r="C26" i="1"/>
  <c r="AD14" i="1"/>
  <c r="D63" i="1"/>
  <c r="AB24" i="1"/>
  <c r="Z25" i="1"/>
  <c r="AB25" i="1" s="1"/>
  <c r="N25" i="1"/>
  <c r="P25" i="1" s="1"/>
  <c r="P24" i="1"/>
  <c r="AE34" i="1"/>
  <c r="AE35" i="1"/>
  <c r="D24" i="1"/>
  <c r="B25" i="1"/>
  <c r="AC24" i="1"/>
  <c r="AE24" i="1" s="1"/>
  <c r="D62" i="1"/>
  <c r="Z26" i="1"/>
  <c r="AB14" i="1"/>
  <c r="H63" i="1"/>
  <c r="J63" i="1" s="1"/>
  <c r="K63" i="1"/>
  <c r="M63" i="1" s="1"/>
  <c r="V57" i="1"/>
  <c r="B26" i="1"/>
  <c r="D14" i="1"/>
  <c r="AC14" i="1"/>
  <c r="AE60" i="1"/>
  <c r="AE40" i="1"/>
  <c r="Q63" i="1"/>
  <c r="S63" i="1" s="1"/>
  <c r="C63" i="1"/>
  <c r="H26" i="1"/>
  <c r="AE14" i="1" l="1"/>
  <c r="AD63" i="1"/>
  <c r="G63" i="1"/>
  <c r="B64" i="1"/>
  <c r="D26" i="1"/>
  <c r="AC25" i="1"/>
  <c r="AE25" i="1" s="1"/>
  <c r="D25" i="1"/>
  <c r="C64" i="1"/>
  <c r="AD26" i="1"/>
  <c r="H64" i="1"/>
  <c r="J26" i="1"/>
  <c r="Z64" i="1"/>
  <c r="AB26" i="1"/>
  <c r="N26" i="1"/>
  <c r="AE57" i="1"/>
  <c r="S26" i="1"/>
  <c r="Q64" i="1"/>
  <c r="T65" i="1"/>
  <c r="V65" i="1" s="1"/>
  <c r="V64" i="1"/>
  <c r="AC63" i="1"/>
  <c r="AE63" i="1" s="1"/>
  <c r="E64" i="1"/>
  <c r="G26" i="1"/>
  <c r="M25" i="1"/>
  <c r="K26" i="1"/>
  <c r="Y25" i="1"/>
  <c r="W26" i="1"/>
  <c r="E65" i="1" l="1"/>
  <c r="G65" i="1" s="1"/>
  <c r="G64" i="1"/>
  <c r="Q65" i="1"/>
  <c r="S65" i="1" s="1"/>
  <c r="S64" i="1"/>
  <c r="K64" i="1"/>
  <c r="M26" i="1"/>
  <c r="AD64" i="1"/>
  <c r="C65" i="1"/>
  <c r="AD65" i="1" s="1"/>
  <c r="W64" i="1"/>
  <c r="Y26" i="1"/>
  <c r="N64" i="1"/>
  <c r="P26" i="1"/>
  <c r="J64" i="1"/>
  <c r="H65" i="1"/>
  <c r="J65" i="1" s="1"/>
  <c r="Z65" i="1"/>
  <c r="AB65" i="1" s="1"/>
  <c r="AB64" i="1"/>
  <c r="AC26" i="1"/>
  <c r="AE26" i="1" s="1"/>
  <c r="B65" i="1"/>
  <c r="D64" i="1"/>
  <c r="AC64" i="1" l="1"/>
  <c r="AE64" i="1" s="1"/>
  <c r="N65" i="1"/>
  <c r="P65" i="1" s="1"/>
  <c r="P64" i="1"/>
  <c r="D65" i="1"/>
  <c r="W65" i="1"/>
  <c r="Y65" i="1" s="1"/>
  <c r="Y64" i="1"/>
  <c r="M64" i="1"/>
  <c r="K65" i="1"/>
  <c r="M65" i="1" s="1"/>
  <c r="AC65" i="1" l="1"/>
  <c r="AE65" i="1" s="1"/>
</calcChain>
</file>

<file path=xl/sharedStrings.xml><?xml version="1.0" encoding="utf-8"?>
<sst xmlns="http://schemas.openxmlformats.org/spreadsheetml/2006/main" count="103" uniqueCount="76">
  <si>
    <t>Oct 2023</t>
  </si>
  <si>
    <t>Nov 2023</t>
  </si>
  <si>
    <t>Dec 2023</t>
  </si>
  <si>
    <t>Jan 2024</t>
  </si>
  <si>
    <t>Feb 2024</t>
  </si>
  <si>
    <t>Mar 2024</t>
  </si>
  <si>
    <t>Apr 2024</t>
  </si>
  <si>
    <t>May 2024</t>
  </si>
  <si>
    <t>Jun 2024</t>
  </si>
  <si>
    <t>Total</t>
  </si>
  <si>
    <t>Actual</t>
  </si>
  <si>
    <t>Budget</t>
  </si>
  <si>
    <t>over Budget</t>
  </si>
  <si>
    <t>Revenue</t>
  </si>
  <si>
    <t xml:space="preserve">   319.901 Less Use Tax Collected, Hangars</t>
  </si>
  <si>
    <t xml:space="preserve">   369.901 Fuel Sales</t>
  </si>
  <si>
    <t xml:space="preserve">   369.902 Fuel Additive Sales</t>
  </si>
  <si>
    <t xml:space="preserve">   369.903 Food Service (Donations/Sales)</t>
  </si>
  <si>
    <t xml:space="preserve">   369.905 Sales Tax Collection Allowance</t>
  </si>
  <si>
    <t xml:space="preserve">   383.201 Hangar Rentals</t>
  </si>
  <si>
    <t>Total Revenue</t>
  </si>
  <si>
    <t>Cost of Goods Sold</t>
  </si>
  <si>
    <t xml:space="preserve">   480.901 Other - Hangars</t>
  </si>
  <si>
    <t xml:space="preserve">   480.902 Food Service</t>
  </si>
  <si>
    <t xml:space="preserve">   480.904 Merchandise for Resale- G &amp; P</t>
  </si>
  <si>
    <t xml:space="preserve">   Cost of Goods Sold</t>
  </si>
  <si>
    <t xml:space="preserve">      469.901 Fuel Purchased - Resale</t>
  </si>
  <si>
    <t xml:space="preserve">      469.904 Food Service Consumable Supply</t>
  </si>
  <si>
    <t xml:space="preserve">      469.906 Credit Card Fees</t>
  </si>
  <si>
    <t xml:space="preserve">      469.907 Fuel Additive COGS</t>
  </si>
  <si>
    <t xml:space="preserve">   Total Cost of Goods Sold</t>
  </si>
  <si>
    <t>Total Cost of Goods Sold</t>
  </si>
  <si>
    <t>Gross Profit</t>
  </si>
  <si>
    <t>Expenditures</t>
  </si>
  <si>
    <t xml:space="preserve">   513.01 Accounting Expense</t>
  </si>
  <si>
    <t xml:space="preserve">   513.03 Annual Audit Prior FY</t>
  </si>
  <si>
    <t xml:space="preserve">   513.04 Advertising</t>
  </si>
  <si>
    <t xml:space="preserve">   513.05 General Promotion/Mkting</t>
  </si>
  <si>
    <t xml:space="preserve">   513.06 Websites</t>
  </si>
  <si>
    <t xml:space="preserve">   513.07 Internet Expenses</t>
  </si>
  <si>
    <t xml:space="preserve">   513.10 Bank Service Charges</t>
  </si>
  <si>
    <t xml:space="preserve">   513.12 Interest Expense-Banks</t>
  </si>
  <si>
    <t xml:space="preserve">   513.15 Dues &amp; Subscriptions</t>
  </si>
  <si>
    <t xml:space="preserve">   513.17 Continuing Education</t>
  </si>
  <si>
    <t xml:space="preserve">   513.18 Automobile Expense</t>
  </si>
  <si>
    <t xml:space="preserve">   513.25 Salary-Manager</t>
  </si>
  <si>
    <t xml:space="preserve">   513.27 Independent Contractor - Admin</t>
  </si>
  <si>
    <t xml:space="preserve">   513.30 Payroll Taxes - Company Portion</t>
  </si>
  <si>
    <t xml:space="preserve">   513.50 Supplies- Airport Operations</t>
  </si>
  <si>
    <t xml:space="preserve">   513.51 Office Expense- Supplies</t>
  </si>
  <si>
    <t xml:space="preserve">   513.52 Postage</t>
  </si>
  <si>
    <t xml:space="preserve">   513.55 Miscellaneous</t>
  </si>
  <si>
    <t xml:space="preserve">   514.01 Legal &amp; Professional Fees</t>
  </si>
  <si>
    <t xml:space="preserve">      514.05 Misc L &amp; P</t>
  </si>
  <si>
    <t xml:space="preserve">   Total 514.01 Legal &amp; Professional Fees</t>
  </si>
  <si>
    <t xml:space="preserve">   514.15 Insurance -Liability</t>
  </si>
  <si>
    <t xml:space="preserve">   514.16 Insurance - Casualty</t>
  </si>
  <si>
    <t xml:space="preserve">   514.17 Insurance - Hazardous Materials</t>
  </si>
  <si>
    <t xml:space="preserve">   514.18 Insurance- Surety Bond</t>
  </si>
  <si>
    <t xml:space="preserve">   519 Repairs &amp; Maintenance</t>
  </si>
  <si>
    <t xml:space="preserve">      519.01 Repairs &amp; Maintenance - General</t>
  </si>
  <si>
    <t xml:space="preserve">      519.02 Repairs &amp; Maint - Buildings</t>
  </si>
  <si>
    <t xml:space="preserve">      519.03 Repairs &amp; Maint - Equipment</t>
  </si>
  <si>
    <t xml:space="preserve">   Total 519 Repairs &amp; Maintenance</t>
  </si>
  <si>
    <t xml:space="preserve">   531 Utilities</t>
  </si>
  <si>
    <t xml:space="preserve">      531.01 Electric</t>
  </si>
  <si>
    <t xml:space="preserve">      531.02 Telephone Expense</t>
  </si>
  <si>
    <t xml:space="preserve">      534.01 Garbage/Trash Removal</t>
  </si>
  <si>
    <t xml:space="preserve">   Total 531 Utilities</t>
  </si>
  <si>
    <t>Total Expenditures</t>
  </si>
  <si>
    <t>Net Operating Revenue</t>
  </si>
  <si>
    <t>Net Revenue</t>
  </si>
  <si>
    <t>Tuesday, Jul 02, 2024 11:11:10 AM GMT-7 - Accrual Basis</t>
  </si>
  <si>
    <t>Tri-County Airport Authority</t>
  </si>
  <si>
    <t xml:space="preserve">Budget vs. Actuals: FY_2023_2024 - FY24 P&amp;L </t>
  </si>
  <si>
    <t>October 2023 -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</si>
</sst>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&quot;$&quot;* #,##0.00\ _€"/>
  </numFmts>
  <fonts count="6" x14ac:knownFonts="1">
    <font>
      <sz val="11"/>
      <color indexed="8"/>
      <name val="Aptos Narrow"/>
      <family val="2"/>
      <scheme val="minor"/>
    </font>
    <font>
      <b/>
      <sz val="9"/>
      <color indexed="8"/>
      <name val="Arial"/>
    </font>
    <font>
      <b/>
      <sz val="8"/>
      <color indexed="8"/>
      <name val="Arial"/>
    </font>
    <font>
      <sz val="8"/>
      <color indexed="8"/>
      <name val="Arial"/>
    </font>
    <font>
      <b/>
      <sz val="14"/>
      <color indexed="8"/>
      <name val="Arial"/>
    </font>
    <font>
      <b/>
      <sz val="10"/>
      <color indexed="8"/>
      <name val="Arial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left" wrapText="1"/>
    </xf>
    <xf numFmtId="164" fontId="3" fillId="0" borderId="0" xfId="0" applyNumberFormat="1" applyFont="1" applyAlignment="1">
      <alignment wrapText="1"/>
    </xf>
    <xf numFmtId="0" fontId="1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horizontal="right" wrapText="1"/>
    </xf>
    <xf numFmtId="165" fontId="2" fillId="0" borderId="1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164" fontId="3" fillId="0" borderId="6" xfId="0" applyNumberFormat="1" applyFont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164" fontId="3" fillId="0" borderId="7" xfId="0" applyNumberFormat="1" applyFont="1" applyBorder="1" applyAlignment="1">
      <alignment horizontal="right" wrapText="1"/>
    </xf>
    <xf numFmtId="164" fontId="3" fillId="0" borderId="6" xfId="0" applyNumberFormat="1" applyFont="1" applyBorder="1" applyAlignment="1">
      <alignment horizontal="right" wrapText="1"/>
    </xf>
    <xf numFmtId="165" fontId="2" fillId="0" borderId="6" xfId="0" applyNumberFormat="1" applyFont="1" applyBorder="1" applyAlignment="1">
      <alignment horizontal="right" wrapText="1"/>
    </xf>
    <xf numFmtId="165" fontId="2" fillId="0" borderId="7" xfId="0" applyNumberFormat="1" applyFont="1" applyBorder="1" applyAlignment="1">
      <alignment horizontal="right" wrapText="1"/>
    </xf>
    <xf numFmtId="165" fontId="2" fillId="0" borderId="8" xfId="0" applyNumberFormat="1" applyFont="1" applyBorder="1" applyAlignment="1">
      <alignment horizontal="right" wrapText="1"/>
    </xf>
    <xf numFmtId="165" fontId="2" fillId="0" borderId="9" xfId="0" applyNumberFormat="1" applyFont="1" applyBorder="1" applyAlignment="1">
      <alignment horizontal="right" wrapText="1"/>
    </xf>
    <xf numFmtId="165" fontId="2" fillId="0" borderId="1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7"/>
  <sheetViews>
    <sheetView tabSelected="1" zoomScaleNormal="100" workbookViewId="0">
      <selection activeCell="C8" sqref="C8"/>
    </sheetView>
  </sheetViews>
  <sheetFormatPr defaultRowHeight="15" x14ac:dyDescent="0.25"/>
  <cols>
    <col min="1" max="1" width="38.7109375" customWidth="1"/>
    <col min="2" max="6" width="9.42578125" customWidth="1"/>
    <col min="7" max="7" width="10.28515625" customWidth="1"/>
    <col min="8" max="8" width="11.140625" customWidth="1"/>
    <col min="9" max="9" width="9.42578125" customWidth="1"/>
    <col min="10" max="10" width="11.140625" customWidth="1"/>
    <col min="11" max="12" width="9.42578125" customWidth="1"/>
    <col min="13" max="13" width="11.140625" customWidth="1"/>
    <col min="14" max="15" width="9.42578125" customWidth="1"/>
    <col min="16" max="16" width="10.28515625" customWidth="1"/>
    <col min="17" max="18" width="9.42578125" customWidth="1"/>
    <col min="19" max="19" width="10.28515625" customWidth="1"/>
    <col min="20" max="21" width="9.42578125" customWidth="1"/>
    <col min="22" max="22" width="10.28515625" customWidth="1"/>
    <col min="23" max="24" width="9.42578125" customWidth="1"/>
    <col min="25" max="25" width="10.28515625" customWidth="1"/>
    <col min="26" max="28" width="9.42578125" customWidth="1"/>
    <col min="29" max="30" width="10.28515625" customWidth="1"/>
    <col min="31" max="31" width="11.140625" customWidth="1"/>
  </cols>
  <sheetData>
    <row r="1" spans="1:31" ht="18" x14ac:dyDescent="0.25">
      <c r="A1" s="22" t="s">
        <v>73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31" ht="18" x14ac:dyDescent="0.25">
      <c r="A2" s="22" t="s">
        <v>74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31" x14ac:dyDescent="0.25">
      <c r="A3" s="23" t="s">
        <v>75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</row>
    <row r="4" spans="1:31" ht="15.75" thickBot="1" x14ac:dyDescent="0.3"/>
    <row r="5" spans="1:31" x14ac:dyDescent="0.25">
      <c r="A5" s="1"/>
      <c r="B5" s="24" t="s">
        <v>0</v>
      </c>
      <c r="C5" s="25"/>
      <c r="D5" s="26"/>
      <c r="E5" s="24" t="s">
        <v>1</v>
      </c>
      <c r="F5" s="25"/>
      <c r="G5" s="26"/>
      <c r="H5" s="24" t="s">
        <v>2</v>
      </c>
      <c r="I5" s="25"/>
      <c r="J5" s="26"/>
      <c r="K5" s="24" t="s">
        <v>3</v>
      </c>
      <c r="L5" s="25"/>
      <c r="M5" s="26"/>
      <c r="N5" s="24" t="s">
        <v>4</v>
      </c>
      <c r="O5" s="25"/>
      <c r="P5" s="26"/>
      <c r="Q5" s="24" t="s">
        <v>5</v>
      </c>
      <c r="R5" s="25"/>
      <c r="S5" s="26"/>
      <c r="T5" s="24" t="s">
        <v>6</v>
      </c>
      <c r="U5" s="25"/>
      <c r="V5" s="26"/>
      <c r="W5" s="24" t="s">
        <v>7</v>
      </c>
      <c r="X5" s="25"/>
      <c r="Y5" s="26"/>
      <c r="Z5" s="24" t="s">
        <v>8</v>
      </c>
      <c r="AA5" s="25"/>
      <c r="AB5" s="26"/>
      <c r="AC5" s="24" t="s">
        <v>9</v>
      </c>
      <c r="AD5" s="25"/>
      <c r="AE5" s="26"/>
    </row>
    <row r="6" spans="1:31" ht="24.75" x14ac:dyDescent="0.25">
      <c r="A6" s="1"/>
      <c r="B6" s="9" t="s">
        <v>10</v>
      </c>
      <c r="C6" s="4" t="s">
        <v>11</v>
      </c>
      <c r="D6" s="10" t="s">
        <v>12</v>
      </c>
      <c r="E6" s="9" t="s">
        <v>10</v>
      </c>
      <c r="F6" s="4" t="s">
        <v>11</v>
      </c>
      <c r="G6" s="10" t="s">
        <v>12</v>
      </c>
      <c r="H6" s="9" t="s">
        <v>10</v>
      </c>
      <c r="I6" s="4" t="s">
        <v>11</v>
      </c>
      <c r="J6" s="10" t="s">
        <v>12</v>
      </c>
      <c r="K6" s="9" t="s">
        <v>10</v>
      </c>
      <c r="L6" s="4" t="s">
        <v>11</v>
      </c>
      <c r="M6" s="10" t="s">
        <v>12</v>
      </c>
      <c r="N6" s="9" t="s">
        <v>10</v>
      </c>
      <c r="O6" s="4" t="s">
        <v>11</v>
      </c>
      <c r="P6" s="10" t="s">
        <v>12</v>
      </c>
      <c r="Q6" s="9" t="s">
        <v>10</v>
      </c>
      <c r="R6" s="4" t="s">
        <v>11</v>
      </c>
      <c r="S6" s="10" t="s">
        <v>12</v>
      </c>
      <c r="T6" s="9" t="s">
        <v>10</v>
      </c>
      <c r="U6" s="4" t="s">
        <v>11</v>
      </c>
      <c r="V6" s="10" t="s">
        <v>12</v>
      </c>
      <c r="W6" s="9" t="s">
        <v>10</v>
      </c>
      <c r="X6" s="4" t="s">
        <v>11</v>
      </c>
      <c r="Y6" s="10" t="s">
        <v>12</v>
      </c>
      <c r="Z6" s="9" t="s">
        <v>10</v>
      </c>
      <c r="AA6" s="4" t="s">
        <v>11</v>
      </c>
      <c r="AB6" s="10" t="s">
        <v>12</v>
      </c>
      <c r="AC6" s="9" t="s">
        <v>10</v>
      </c>
      <c r="AD6" s="4" t="s">
        <v>11</v>
      </c>
      <c r="AE6" s="10" t="s">
        <v>12</v>
      </c>
    </row>
    <row r="7" spans="1:31" x14ac:dyDescent="0.25">
      <c r="A7" s="8" t="s">
        <v>13</v>
      </c>
      <c r="B7" s="11"/>
      <c r="C7" s="5"/>
      <c r="D7" s="12"/>
      <c r="E7" s="11"/>
      <c r="F7" s="5"/>
      <c r="G7" s="12"/>
      <c r="H7" s="11"/>
      <c r="I7" s="5"/>
      <c r="J7" s="12"/>
      <c r="K7" s="11"/>
      <c r="L7" s="5"/>
      <c r="M7" s="12"/>
      <c r="N7" s="11"/>
      <c r="O7" s="5"/>
      <c r="P7" s="12"/>
      <c r="Q7" s="11"/>
      <c r="R7" s="5"/>
      <c r="S7" s="12"/>
      <c r="T7" s="11"/>
      <c r="U7" s="5"/>
      <c r="V7" s="12"/>
      <c r="W7" s="11"/>
      <c r="X7" s="5"/>
      <c r="Y7" s="12"/>
      <c r="Z7" s="11"/>
      <c r="AA7" s="5"/>
      <c r="AB7" s="12"/>
      <c r="AC7" s="11"/>
      <c r="AD7" s="5"/>
      <c r="AE7" s="12"/>
    </row>
    <row r="8" spans="1:31" x14ac:dyDescent="0.25">
      <c r="A8" s="8" t="s">
        <v>14</v>
      </c>
      <c r="B8" s="11">
        <v>0</v>
      </c>
      <c r="C8" s="6">
        <f>1034.34</f>
        <v>1034.3399999999999</v>
      </c>
      <c r="D8" s="13">
        <f t="shared" ref="D8:D14" si="0">(B8)-(C8)</f>
        <v>-1034.3399999999999</v>
      </c>
      <c r="E8" s="11">
        <v>0</v>
      </c>
      <c r="F8" s="6">
        <f>1034.34</f>
        <v>1034.3399999999999</v>
      </c>
      <c r="G8" s="13">
        <f t="shared" ref="G8:G14" si="1">(E8)-(F8)</f>
        <v>-1034.3399999999999</v>
      </c>
      <c r="H8" s="11">
        <v>0</v>
      </c>
      <c r="I8" s="6">
        <f>1034.34</f>
        <v>1034.3399999999999</v>
      </c>
      <c r="J8" s="13">
        <f t="shared" ref="J8:J14" si="2">(H8)-(I8)</f>
        <v>-1034.3399999999999</v>
      </c>
      <c r="K8" s="11">
        <v>0</v>
      </c>
      <c r="L8" s="6">
        <f>1034.34</f>
        <v>1034.3399999999999</v>
      </c>
      <c r="M8" s="13">
        <f t="shared" ref="M8:M14" si="3">(K8)-(L8)</f>
        <v>-1034.3399999999999</v>
      </c>
      <c r="N8" s="11">
        <v>0</v>
      </c>
      <c r="O8" s="6">
        <f>1034.34</f>
        <v>1034.3399999999999</v>
      </c>
      <c r="P8" s="13">
        <f t="shared" ref="P8:P14" si="4">(N8)-(O8)</f>
        <v>-1034.3399999999999</v>
      </c>
      <c r="Q8" s="11">
        <v>0</v>
      </c>
      <c r="R8" s="6">
        <f>1034.34</f>
        <v>1034.3399999999999</v>
      </c>
      <c r="S8" s="13">
        <f t="shared" ref="S8:S14" si="5">(Q8)-(R8)</f>
        <v>-1034.3399999999999</v>
      </c>
      <c r="T8" s="11">
        <v>0</v>
      </c>
      <c r="U8" s="6">
        <f>1034.34</f>
        <v>1034.3399999999999</v>
      </c>
      <c r="V8" s="13">
        <f t="shared" ref="V8:V14" si="6">(T8)-(U8)</f>
        <v>-1034.3399999999999</v>
      </c>
      <c r="W8" s="11">
        <v>0</v>
      </c>
      <c r="X8" s="6">
        <f>1034.34</f>
        <v>1034.3399999999999</v>
      </c>
      <c r="Y8" s="13">
        <f t="shared" ref="Y8:Y14" si="7">(W8)-(X8)</f>
        <v>-1034.3399999999999</v>
      </c>
      <c r="Z8" s="11">
        <v>0</v>
      </c>
      <c r="AA8" s="6">
        <f>1034.34</f>
        <v>1034.3399999999999</v>
      </c>
      <c r="AB8" s="13">
        <f t="shared" ref="AB8:AB14" si="8">(Z8)-(AA8)</f>
        <v>-1034.3399999999999</v>
      </c>
      <c r="AC8" s="14">
        <f t="shared" ref="AC8:AD14" si="9">((((((((B8)+(E8))+(H8))+(K8))+(N8))+(Q8))+(T8))+(W8))+(Z8)</f>
        <v>0</v>
      </c>
      <c r="AD8" s="6">
        <f t="shared" si="9"/>
        <v>9309.06</v>
      </c>
      <c r="AE8" s="13">
        <f t="shared" ref="AE8:AE14" si="10">(AC8)-(AD8)</f>
        <v>-9309.06</v>
      </c>
    </row>
    <row r="9" spans="1:31" x14ac:dyDescent="0.25">
      <c r="A9" s="8" t="s">
        <v>15</v>
      </c>
      <c r="B9" s="14">
        <f>46328.57</f>
        <v>46328.57</v>
      </c>
      <c r="C9" s="6">
        <f>22862.41</f>
        <v>22862.41</v>
      </c>
      <c r="D9" s="13">
        <f t="shared" si="0"/>
        <v>23466.16</v>
      </c>
      <c r="E9" s="14">
        <f>26062.01</f>
        <v>26062.01</v>
      </c>
      <c r="F9" s="6">
        <f>22862.41</f>
        <v>22862.41</v>
      </c>
      <c r="G9" s="13">
        <f t="shared" si="1"/>
        <v>3199.5999999999985</v>
      </c>
      <c r="H9" s="14">
        <f>38925.05</f>
        <v>38925.050000000003</v>
      </c>
      <c r="I9" s="6">
        <f>22862.41</f>
        <v>22862.41</v>
      </c>
      <c r="J9" s="13">
        <f t="shared" si="2"/>
        <v>16062.640000000003</v>
      </c>
      <c r="K9" s="14">
        <f>35049.4</f>
        <v>35049.4</v>
      </c>
      <c r="L9" s="6">
        <f>22862.41</f>
        <v>22862.41</v>
      </c>
      <c r="M9" s="13">
        <f t="shared" si="3"/>
        <v>12186.990000000002</v>
      </c>
      <c r="N9" s="14">
        <f>37894.44</f>
        <v>37894.44</v>
      </c>
      <c r="O9" s="6">
        <f>22862.41</f>
        <v>22862.41</v>
      </c>
      <c r="P9" s="13">
        <f t="shared" si="4"/>
        <v>15032.030000000002</v>
      </c>
      <c r="Q9" s="14">
        <f>44442.21</f>
        <v>44442.21</v>
      </c>
      <c r="R9" s="6">
        <f>22862.41</f>
        <v>22862.41</v>
      </c>
      <c r="S9" s="13">
        <f t="shared" si="5"/>
        <v>21579.8</v>
      </c>
      <c r="T9" s="14">
        <f>52461.39</f>
        <v>52461.39</v>
      </c>
      <c r="U9" s="6">
        <f>22862.41</f>
        <v>22862.41</v>
      </c>
      <c r="V9" s="13">
        <f t="shared" si="6"/>
        <v>29598.98</v>
      </c>
      <c r="W9" s="14">
        <f>44817.53</f>
        <v>44817.53</v>
      </c>
      <c r="X9" s="6">
        <f>22862.41</f>
        <v>22862.41</v>
      </c>
      <c r="Y9" s="13">
        <f t="shared" si="7"/>
        <v>21955.119999999999</v>
      </c>
      <c r="Z9" s="14">
        <f>53938.32</f>
        <v>53938.32</v>
      </c>
      <c r="AA9" s="6">
        <f>22862.41</f>
        <v>22862.41</v>
      </c>
      <c r="AB9" s="13">
        <f t="shared" si="8"/>
        <v>31075.91</v>
      </c>
      <c r="AC9" s="14">
        <f t="shared" si="9"/>
        <v>379918.92</v>
      </c>
      <c r="AD9" s="6">
        <f t="shared" si="9"/>
        <v>205761.69</v>
      </c>
      <c r="AE9" s="13">
        <f t="shared" si="10"/>
        <v>174157.22999999998</v>
      </c>
    </row>
    <row r="10" spans="1:31" x14ac:dyDescent="0.25">
      <c r="A10" s="8" t="s">
        <v>16</v>
      </c>
      <c r="B10" s="14">
        <f>245</f>
        <v>245</v>
      </c>
      <c r="C10" s="6">
        <f>210</f>
        <v>210</v>
      </c>
      <c r="D10" s="13">
        <f t="shared" si="0"/>
        <v>35</v>
      </c>
      <c r="E10" s="14">
        <f>175</f>
        <v>175</v>
      </c>
      <c r="F10" s="6">
        <f>210</f>
        <v>210</v>
      </c>
      <c r="G10" s="13">
        <f t="shared" si="1"/>
        <v>-35</v>
      </c>
      <c r="H10" s="14">
        <f>315</f>
        <v>315</v>
      </c>
      <c r="I10" s="6">
        <f>210</f>
        <v>210</v>
      </c>
      <c r="J10" s="13">
        <f t="shared" si="2"/>
        <v>105</v>
      </c>
      <c r="K10" s="14">
        <f>420</f>
        <v>420</v>
      </c>
      <c r="L10" s="6">
        <f>210</f>
        <v>210</v>
      </c>
      <c r="M10" s="13">
        <f t="shared" si="3"/>
        <v>210</v>
      </c>
      <c r="N10" s="14">
        <f>455</f>
        <v>455</v>
      </c>
      <c r="O10" s="6">
        <f>210</f>
        <v>210</v>
      </c>
      <c r="P10" s="13">
        <f t="shared" si="4"/>
        <v>245</v>
      </c>
      <c r="Q10" s="14">
        <f>332.5</f>
        <v>332.5</v>
      </c>
      <c r="R10" s="6">
        <f>210</f>
        <v>210</v>
      </c>
      <c r="S10" s="13">
        <f t="shared" si="5"/>
        <v>122.5</v>
      </c>
      <c r="T10" s="14">
        <f>420</f>
        <v>420</v>
      </c>
      <c r="U10" s="6">
        <f>210</f>
        <v>210</v>
      </c>
      <c r="V10" s="13">
        <f t="shared" si="6"/>
        <v>210</v>
      </c>
      <c r="W10" s="14">
        <f>210</f>
        <v>210</v>
      </c>
      <c r="X10" s="6">
        <f>210</f>
        <v>210</v>
      </c>
      <c r="Y10" s="13">
        <f t="shared" si="7"/>
        <v>0</v>
      </c>
      <c r="Z10" s="14">
        <f>350</f>
        <v>350</v>
      </c>
      <c r="AA10" s="6">
        <f>210</f>
        <v>210</v>
      </c>
      <c r="AB10" s="13">
        <f t="shared" si="8"/>
        <v>140</v>
      </c>
      <c r="AC10" s="14">
        <f t="shared" si="9"/>
        <v>2922.5</v>
      </c>
      <c r="AD10" s="6">
        <f t="shared" si="9"/>
        <v>1890</v>
      </c>
      <c r="AE10" s="13">
        <f t="shared" si="10"/>
        <v>1032.5</v>
      </c>
    </row>
    <row r="11" spans="1:31" x14ac:dyDescent="0.25">
      <c r="A11" s="8" t="s">
        <v>17</v>
      </c>
      <c r="B11" s="14">
        <f>63</f>
        <v>63</v>
      </c>
      <c r="C11" s="6">
        <f>41.67</f>
        <v>41.67</v>
      </c>
      <c r="D11" s="13">
        <f t="shared" si="0"/>
        <v>21.33</v>
      </c>
      <c r="E11" s="14">
        <f>26</f>
        <v>26</v>
      </c>
      <c r="F11" s="6">
        <f>41.67</f>
        <v>41.67</v>
      </c>
      <c r="G11" s="13">
        <f t="shared" si="1"/>
        <v>-15.670000000000002</v>
      </c>
      <c r="H11" s="14">
        <f>34.5</f>
        <v>34.5</v>
      </c>
      <c r="I11" s="6">
        <f>41.67</f>
        <v>41.67</v>
      </c>
      <c r="J11" s="13">
        <f t="shared" si="2"/>
        <v>-7.1700000000000017</v>
      </c>
      <c r="K11" s="14">
        <f>57</f>
        <v>57</v>
      </c>
      <c r="L11" s="6">
        <f>41.67</f>
        <v>41.67</v>
      </c>
      <c r="M11" s="13">
        <f t="shared" si="3"/>
        <v>15.329999999999998</v>
      </c>
      <c r="N11" s="14">
        <f>42</f>
        <v>42</v>
      </c>
      <c r="O11" s="6">
        <f>41.67</f>
        <v>41.67</v>
      </c>
      <c r="P11" s="13">
        <f t="shared" si="4"/>
        <v>0.32999999999999829</v>
      </c>
      <c r="Q11" s="14">
        <f>48</f>
        <v>48</v>
      </c>
      <c r="R11" s="6">
        <f>41.67</f>
        <v>41.67</v>
      </c>
      <c r="S11" s="13">
        <f t="shared" si="5"/>
        <v>6.3299999999999983</v>
      </c>
      <c r="T11" s="14">
        <f>36</f>
        <v>36</v>
      </c>
      <c r="U11" s="6">
        <f>41.67</f>
        <v>41.67</v>
      </c>
      <c r="V11" s="13">
        <f t="shared" si="6"/>
        <v>-5.6700000000000017</v>
      </c>
      <c r="W11" s="14">
        <f>60</f>
        <v>60</v>
      </c>
      <c r="X11" s="6">
        <f>41.66</f>
        <v>41.66</v>
      </c>
      <c r="Y11" s="13">
        <f t="shared" si="7"/>
        <v>18.340000000000003</v>
      </c>
      <c r="Z11" s="14">
        <f>41.5</f>
        <v>41.5</v>
      </c>
      <c r="AA11" s="6">
        <f>41.66</f>
        <v>41.66</v>
      </c>
      <c r="AB11" s="13">
        <f t="shared" si="8"/>
        <v>-0.15999999999999659</v>
      </c>
      <c r="AC11" s="14">
        <f t="shared" si="9"/>
        <v>408</v>
      </c>
      <c r="AD11" s="6">
        <f t="shared" si="9"/>
        <v>375.01</v>
      </c>
      <c r="AE11" s="13">
        <f t="shared" si="10"/>
        <v>32.990000000000009</v>
      </c>
    </row>
    <row r="12" spans="1:31" x14ac:dyDescent="0.25">
      <c r="A12" s="8" t="s">
        <v>18</v>
      </c>
      <c r="B12" s="14">
        <f>30</f>
        <v>30</v>
      </c>
      <c r="C12" s="6">
        <f>25.86</f>
        <v>25.86</v>
      </c>
      <c r="D12" s="13">
        <f t="shared" si="0"/>
        <v>4.1400000000000006</v>
      </c>
      <c r="E12" s="14">
        <f>13.53</f>
        <v>13.53</v>
      </c>
      <c r="F12" s="6">
        <f>25.86</f>
        <v>25.86</v>
      </c>
      <c r="G12" s="13">
        <f t="shared" si="1"/>
        <v>-12.33</v>
      </c>
      <c r="H12" s="14">
        <f>29.2</f>
        <v>29.2</v>
      </c>
      <c r="I12" s="6">
        <f>25.86</f>
        <v>25.86</v>
      </c>
      <c r="J12" s="13">
        <f t="shared" si="2"/>
        <v>3.34</v>
      </c>
      <c r="K12" s="14">
        <f>27.57</f>
        <v>27.57</v>
      </c>
      <c r="L12" s="6">
        <f>25.86</f>
        <v>25.86</v>
      </c>
      <c r="M12" s="13">
        <f t="shared" si="3"/>
        <v>1.7100000000000009</v>
      </c>
      <c r="N12" s="14">
        <f>28.55</f>
        <v>28.55</v>
      </c>
      <c r="O12" s="6">
        <f>25.86</f>
        <v>25.86</v>
      </c>
      <c r="P12" s="13">
        <f t="shared" si="4"/>
        <v>2.6900000000000013</v>
      </c>
      <c r="Q12" s="14">
        <f>28.05</f>
        <v>28.05</v>
      </c>
      <c r="R12" s="6">
        <f>25.86</f>
        <v>25.86</v>
      </c>
      <c r="S12" s="13">
        <f t="shared" si="5"/>
        <v>2.1900000000000013</v>
      </c>
      <c r="T12" s="14">
        <f>17.7</f>
        <v>17.7</v>
      </c>
      <c r="U12" s="6">
        <f>25.86</f>
        <v>25.86</v>
      </c>
      <c r="V12" s="13">
        <f t="shared" si="6"/>
        <v>-8.16</v>
      </c>
      <c r="W12" s="14">
        <f>25.96</f>
        <v>25.96</v>
      </c>
      <c r="X12" s="6">
        <f>25.86</f>
        <v>25.86</v>
      </c>
      <c r="Y12" s="13">
        <f t="shared" si="7"/>
        <v>0.10000000000000142</v>
      </c>
      <c r="Z12" s="14">
        <f>28.4</f>
        <v>28.4</v>
      </c>
      <c r="AA12" s="6">
        <f>25.86</f>
        <v>25.86</v>
      </c>
      <c r="AB12" s="13">
        <f t="shared" si="8"/>
        <v>2.5399999999999991</v>
      </c>
      <c r="AC12" s="14">
        <f t="shared" si="9"/>
        <v>228.96000000000004</v>
      </c>
      <c r="AD12" s="6">
        <f t="shared" si="9"/>
        <v>232.74000000000007</v>
      </c>
      <c r="AE12" s="13">
        <f t="shared" si="10"/>
        <v>-3.7800000000000296</v>
      </c>
    </row>
    <row r="13" spans="1:31" x14ac:dyDescent="0.25">
      <c r="A13" s="8" t="s">
        <v>19</v>
      </c>
      <c r="B13" s="14">
        <f>14533.03</f>
        <v>14533.03</v>
      </c>
      <c r="C13" s="6">
        <f>13791.23</f>
        <v>13791.23</v>
      </c>
      <c r="D13" s="13">
        <f t="shared" si="0"/>
        <v>741.80000000000109</v>
      </c>
      <c r="E13" s="14">
        <f>15574</f>
        <v>15574</v>
      </c>
      <c r="F13" s="6">
        <f>13791.23</f>
        <v>13791.23</v>
      </c>
      <c r="G13" s="13">
        <f t="shared" si="1"/>
        <v>1782.7700000000004</v>
      </c>
      <c r="H13" s="14">
        <f>15248.21</f>
        <v>15248.21</v>
      </c>
      <c r="I13" s="6">
        <f>13791.23</f>
        <v>13791.23</v>
      </c>
      <c r="J13" s="13">
        <f t="shared" si="2"/>
        <v>1456.9799999999996</v>
      </c>
      <c r="K13" s="14">
        <f>15158.59</f>
        <v>15158.59</v>
      </c>
      <c r="L13" s="6">
        <f>13791.23</f>
        <v>13791.23</v>
      </c>
      <c r="M13" s="13">
        <f t="shared" si="3"/>
        <v>1367.3600000000006</v>
      </c>
      <c r="N13" s="14">
        <f>15327.91</f>
        <v>15327.91</v>
      </c>
      <c r="O13" s="6">
        <f>13791.23</f>
        <v>13791.23</v>
      </c>
      <c r="P13" s="13">
        <f t="shared" si="4"/>
        <v>1536.6800000000003</v>
      </c>
      <c r="Q13" s="14">
        <f>15423.57</f>
        <v>15423.57</v>
      </c>
      <c r="R13" s="6">
        <f>13791.23</f>
        <v>13791.23</v>
      </c>
      <c r="S13" s="13">
        <f t="shared" si="5"/>
        <v>1632.3400000000001</v>
      </c>
      <c r="T13" s="14">
        <f>14676.27</f>
        <v>14676.27</v>
      </c>
      <c r="U13" s="6">
        <f>13791.23</f>
        <v>13791.23</v>
      </c>
      <c r="V13" s="13">
        <f t="shared" si="6"/>
        <v>885.04000000000087</v>
      </c>
      <c r="W13" s="14">
        <f>14810.44</f>
        <v>14810.44</v>
      </c>
      <c r="X13" s="6">
        <f>13791.23</f>
        <v>13791.23</v>
      </c>
      <c r="Y13" s="13">
        <f t="shared" si="7"/>
        <v>1019.2100000000009</v>
      </c>
      <c r="Z13" s="14">
        <f>14888.43</f>
        <v>14888.43</v>
      </c>
      <c r="AA13" s="6">
        <f>13791.23</f>
        <v>13791.23</v>
      </c>
      <c r="AB13" s="13">
        <f t="shared" si="8"/>
        <v>1097.2000000000007</v>
      </c>
      <c r="AC13" s="14">
        <f t="shared" si="9"/>
        <v>135640.45000000001</v>
      </c>
      <c r="AD13" s="6">
        <f t="shared" si="9"/>
        <v>124121.06999999998</v>
      </c>
      <c r="AE13" s="13">
        <f t="shared" si="10"/>
        <v>11519.380000000034</v>
      </c>
    </row>
    <row r="14" spans="1:31" x14ac:dyDescent="0.25">
      <c r="A14" s="8" t="s">
        <v>20</v>
      </c>
      <c r="B14" s="15">
        <f>(((((B8)+(B9))+(B10))+(B11))+(B12))+(B13)</f>
        <v>61199.6</v>
      </c>
      <c r="C14" s="7">
        <f>(((((C8)+(C9))+(C10))+(C11))+(C12))+(C13)</f>
        <v>37965.509999999995</v>
      </c>
      <c r="D14" s="16">
        <f t="shared" si="0"/>
        <v>23234.090000000004</v>
      </c>
      <c r="E14" s="15">
        <f>(((((E8)+(E9))+(E10))+(E11))+(E12))+(E13)</f>
        <v>41850.539999999994</v>
      </c>
      <c r="F14" s="7">
        <f>(((((F8)+(F9))+(F10))+(F11))+(F12))+(F13)</f>
        <v>37965.509999999995</v>
      </c>
      <c r="G14" s="16">
        <f t="shared" si="1"/>
        <v>3885.0299999999988</v>
      </c>
      <c r="H14" s="15">
        <f>(((((H8)+(H9))+(H10))+(H11))+(H12))+(H13)</f>
        <v>54551.96</v>
      </c>
      <c r="I14" s="7">
        <f>(((((I8)+(I9))+(I10))+(I11))+(I12))+(I13)</f>
        <v>37965.509999999995</v>
      </c>
      <c r="J14" s="16">
        <f t="shared" si="2"/>
        <v>16586.450000000004</v>
      </c>
      <c r="K14" s="15">
        <f>(((((K8)+(K9))+(K10))+(K11))+(K12))+(K13)</f>
        <v>50712.56</v>
      </c>
      <c r="L14" s="7">
        <f>(((((L8)+(L9))+(L10))+(L11))+(L12))+(L13)</f>
        <v>37965.509999999995</v>
      </c>
      <c r="M14" s="16">
        <f t="shared" si="3"/>
        <v>12747.050000000003</v>
      </c>
      <c r="N14" s="15">
        <f>(((((N8)+(N9))+(N10))+(N11))+(N12))+(N13)</f>
        <v>53747.900000000009</v>
      </c>
      <c r="O14" s="7">
        <f>(((((O8)+(O9))+(O10))+(O11))+(O12))+(O13)</f>
        <v>37965.509999999995</v>
      </c>
      <c r="P14" s="16">
        <f t="shared" si="4"/>
        <v>15782.390000000014</v>
      </c>
      <c r="Q14" s="15">
        <f>(((((Q8)+(Q9))+(Q10))+(Q11))+(Q12))+(Q13)</f>
        <v>60274.33</v>
      </c>
      <c r="R14" s="7">
        <f>(((((R8)+(R9))+(R10))+(R11))+(R12))+(R13)</f>
        <v>37965.509999999995</v>
      </c>
      <c r="S14" s="16">
        <f t="shared" si="5"/>
        <v>22308.820000000007</v>
      </c>
      <c r="T14" s="15">
        <f>(((((T8)+(T9))+(T10))+(T11))+(T12))+(T13)</f>
        <v>67611.360000000001</v>
      </c>
      <c r="U14" s="7">
        <f>(((((U8)+(U9))+(U10))+(U11))+(U12))+(U13)</f>
        <v>37965.509999999995</v>
      </c>
      <c r="V14" s="16">
        <f t="shared" si="6"/>
        <v>29645.850000000006</v>
      </c>
      <c r="W14" s="15">
        <f>(((((W8)+(W9))+(W10))+(W11))+(W12))+(W13)</f>
        <v>59923.93</v>
      </c>
      <c r="X14" s="7">
        <f>(((((X8)+(X9))+(X10))+(X11))+(X12))+(X13)</f>
        <v>37965.5</v>
      </c>
      <c r="Y14" s="16">
        <f t="shared" si="7"/>
        <v>21958.43</v>
      </c>
      <c r="Z14" s="15">
        <f>(((((Z8)+(Z9))+(Z10))+(Z11))+(Z12))+(Z13)</f>
        <v>69246.649999999994</v>
      </c>
      <c r="AA14" s="7">
        <f>(((((AA8)+(AA9))+(AA10))+(AA11))+(AA12))+(AA13)</f>
        <v>37965.5</v>
      </c>
      <c r="AB14" s="16">
        <f t="shared" si="8"/>
        <v>31281.149999999994</v>
      </c>
      <c r="AC14" s="15">
        <f t="shared" si="9"/>
        <v>519118.82999999996</v>
      </c>
      <c r="AD14" s="7">
        <f t="shared" si="9"/>
        <v>341689.57</v>
      </c>
      <c r="AE14" s="16">
        <f t="shared" si="10"/>
        <v>177429.25999999995</v>
      </c>
    </row>
    <row r="15" spans="1:31" x14ac:dyDescent="0.25">
      <c r="A15" s="8" t="s">
        <v>21</v>
      </c>
      <c r="B15" s="11"/>
      <c r="C15" s="5"/>
      <c r="D15" s="12"/>
      <c r="E15" s="11"/>
      <c r="F15" s="5"/>
      <c r="G15" s="12"/>
      <c r="H15" s="11"/>
      <c r="I15" s="5"/>
      <c r="J15" s="12"/>
      <c r="K15" s="11"/>
      <c r="L15" s="5"/>
      <c r="M15" s="12"/>
      <c r="N15" s="11"/>
      <c r="O15" s="5"/>
      <c r="P15" s="12"/>
      <c r="Q15" s="11"/>
      <c r="R15" s="5"/>
      <c r="S15" s="12"/>
      <c r="T15" s="11"/>
      <c r="U15" s="5"/>
      <c r="V15" s="12"/>
      <c r="W15" s="11"/>
      <c r="X15" s="5"/>
      <c r="Y15" s="12"/>
      <c r="Z15" s="11"/>
      <c r="AA15" s="5"/>
      <c r="AB15" s="12"/>
      <c r="AC15" s="11"/>
      <c r="AD15" s="5"/>
      <c r="AE15" s="12"/>
    </row>
    <row r="16" spans="1:31" x14ac:dyDescent="0.25">
      <c r="A16" s="8" t="s">
        <v>22</v>
      </c>
      <c r="B16" s="11"/>
      <c r="C16" s="6">
        <f>0</f>
        <v>0</v>
      </c>
      <c r="D16" s="13">
        <f t="shared" ref="D16:D26" si="11">(B16)-(C16)</f>
        <v>0</v>
      </c>
      <c r="E16" s="11"/>
      <c r="F16" s="6">
        <f>0</f>
        <v>0</v>
      </c>
      <c r="G16" s="13">
        <f t="shared" ref="G16:G26" si="12">(E16)-(F16)</f>
        <v>0</v>
      </c>
      <c r="H16" s="11"/>
      <c r="I16" s="6">
        <f>0</f>
        <v>0</v>
      </c>
      <c r="J16" s="13">
        <f t="shared" ref="J16:J26" si="13">(H16)-(I16)</f>
        <v>0</v>
      </c>
      <c r="K16" s="11"/>
      <c r="L16" s="6">
        <f>0</f>
        <v>0</v>
      </c>
      <c r="M16" s="13">
        <f t="shared" ref="M16:M26" si="14">(K16)-(L16)</f>
        <v>0</v>
      </c>
      <c r="N16" s="11"/>
      <c r="O16" s="6">
        <f>0</f>
        <v>0</v>
      </c>
      <c r="P16" s="13">
        <f t="shared" ref="P16:P26" si="15">(N16)-(O16)</f>
        <v>0</v>
      </c>
      <c r="Q16" s="11"/>
      <c r="R16" s="6">
        <f>0</f>
        <v>0</v>
      </c>
      <c r="S16" s="13">
        <f t="shared" ref="S16:S26" si="16">(Q16)-(R16)</f>
        <v>0</v>
      </c>
      <c r="T16" s="11"/>
      <c r="U16" s="6">
        <f>0</f>
        <v>0</v>
      </c>
      <c r="V16" s="13">
        <f t="shared" ref="V16:V26" si="17">(T16)-(U16)</f>
        <v>0</v>
      </c>
      <c r="W16" s="11"/>
      <c r="X16" s="6">
        <f>0</f>
        <v>0</v>
      </c>
      <c r="Y16" s="13">
        <f t="shared" ref="Y16:Y26" si="18">(W16)-(X16)</f>
        <v>0</v>
      </c>
      <c r="Z16" s="11"/>
      <c r="AA16" s="6">
        <f>0</f>
        <v>0</v>
      </c>
      <c r="AB16" s="13">
        <f t="shared" ref="AB16:AB26" si="19">(Z16)-(AA16)</f>
        <v>0</v>
      </c>
      <c r="AC16" s="14">
        <f t="shared" ref="AC16:AC26" si="20">((((((((B16)+(E16))+(H16))+(K16))+(N16))+(Q16))+(T16))+(W16))+(Z16)</f>
        <v>0</v>
      </c>
      <c r="AD16" s="6">
        <f t="shared" ref="AD16:AD26" si="21">((((((((C16)+(F16))+(I16))+(L16))+(O16))+(R16))+(U16))+(X16))+(AA16)</f>
        <v>0</v>
      </c>
      <c r="AE16" s="13">
        <f t="shared" ref="AE16:AE26" si="22">(AC16)-(AD16)</f>
        <v>0</v>
      </c>
    </row>
    <row r="17" spans="1:31" x14ac:dyDescent="0.25">
      <c r="A17" s="8" t="s">
        <v>23</v>
      </c>
      <c r="B17" s="11"/>
      <c r="C17" s="6">
        <f>58.33</f>
        <v>58.33</v>
      </c>
      <c r="D17" s="13">
        <f t="shared" si="11"/>
        <v>-58.33</v>
      </c>
      <c r="E17" s="11"/>
      <c r="F17" s="6">
        <f>58.33</f>
        <v>58.33</v>
      </c>
      <c r="G17" s="13">
        <f t="shared" si="12"/>
        <v>-58.33</v>
      </c>
      <c r="H17" s="11"/>
      <c r="I17" s="6">
        <f>58.33</f>
        <v>58.33</v>
      </c>
      <c r="J17" s="13">
        <f t="shared" si="13"/>
        <v>-58.33</v>
      </c>
      <c r="K17" s="11"/>
      <c r="L17" s="6">
        <f>58.33</f>
        <v>58.33</v>
      </c>
      <c r="M17" s="13">
        <f t="shared" si="14"/>
        <v>-58.33</v>
      </c>
      <c r="N17" s="11"/>
      <c r="O17" s="6">
        <f>58.33</f>
        <v>58.33</v>
      </c>
      <c r="P17" s="13">
        <f t="shared" si="15"/>
        <v>-58.33</v>
      </c>
      <c r="Q17" s="11"/>
      <c r="R17" s="6">
        <f>58.33</f>
        <v>58.33</v>
      </c>
      <c r="S17" s="13">
        <f t="shared" si="16"/>
        <v>-58.33</v>
      </c>
      <c r="T17" s="11"/>
      <c r="U17" s="6">
        <f>58.33</f>
        <v>58.33</v>
      </c>
      <c r="V17" s="13">
        <f t="shared" si="17"/>
        <v>-58.33</v>
      </c>
      <c r="W17" s="11"/>
      <c r="X17" s="6">
        <f>58.33</f>
        <v>58.33</v>
      </c>
      <c r="Y17" s="13">
        <f t="shared" si="18"/>
        <v>-58.33</v>
      </c>
      <c r="Z17" s="11"/>
      <c r="AA17" s="6">
        <f>58.34</f>
        <v>58.34</v>
      </c>
      <c r="AB17" s="13">
        <f t="shared" si="19"/>
        <v>-58.34</v>
      </c>
      <c r="AC17" s="14">
        <f t="shared" si="20"/>
        <v>0</v>
      </c>
      <c r="AD17" s="6">
        <f t="shared" si="21"/>
        <v>524.9799999999999</v>
      </c>
      <c r="AE17" s="13">
        <f t="shared" si="22"/>
        <v>-524.9799999999999</v>
      </c>
    </row>
    <row r="18" spans="1:31" x14ac:dyDescent="0.25">
      <c r="A18" s="8" t="s">
        <v>24</v>
      </c>
      <c r="B18" s="11"/>
      <c r="C18" s="6">
        <f>2.51</f>
        <v>2.5099999999999998</v>
      </c>
      <c r="D18" s="13">
        <f t="shared" si="11"/>
        <v>-2.5099999999999998</v>
      </c>
      <c r="E18" s="11"/>
      <c r="F18" s="6">
        <f>2.51</f>
        <v>2.5099999999999998</v>
      </c>
      <c r="G18" s="13">
        <f t="shared" si="12"/>
        <v>-2.5099999999999998</v>
      </c>
      <c r="H18" s="11"/>
      <c r="I18" s="6">
        <f>2.51</f>
        <v>2.5099999999999998</v>
      </c>
      <c r="J18" s="13">
        <f t="shared" si="13"/>
        <v>-2.5099999999999998</v>
      </c>
      <c r="K18" s="11"/>
      <c r="L18" s="6">
        <f>2.51</f>
        <v>2.5099999999999998</v>
      </c>
      <c r="M18" s="13">
        <f t="shared" si="14"/>
        <v>-2.5099999999999998</v>
      </c>
      <c r="N18" s="11"/>
      <c r="O18" s="6">
        <f>2.51</f>
        <v>2.5099999999999998</v>
      </c>
      <c r="P18" s="13">
        <f t="shared" si="15"/>
        <v>-2.5099999999999998</v>
      </c>
      <c r="Q18" s="11"/>
      <c r="R18" s="6">
        <f>2.51</f>
        <v>2.5099999999999998</v>
      </c>
      <c r="S18" s="13">
        <f t="shared" si="16"/>
        <v>-2.5099999999999998</v>
      </c>
      <c r="T18" s="11"/>
      <c r="U18" s="6">
        <f>2.51</f>
        <v>2.5099999999999998</v>
      </c>
      <c r="V18" s="13">
        <f t="shared" si="17"/>
        <v>-2.5099999999999998</v>
      </c>
      <c r="W18" s="11"/>
      <c r="X18" s="6">
        <f>2.51</f>
        <v>2.5099999999999998</v>
      </c>
      <c r="Y18" s="13">
        <f t="shared" si="18"/>
        <v>-2.5099999999999998</v>
      </c>
      <c r="Z18" s="11"/>
      <c r="AA18" s="6">
        <f>2.51</f>
        <v>2.5099999999999998</v>
      </c>
      <c r="AB18" s="13">
        <f t="shared" si="19"/>
        <v>-2.5099999999999998</v>
      </c>
      <c r="AC18" s="14">
        <f t="shared" si="20"/>
        <v>0</v>
      </c>
      <c r="AD18" s="6">
        <f t="shared" si="21"/>
        <v>22.589999999999996</v>
      </c>
      <c r="AE18" s="13">
        <f t="shared" si="22"/>
        <v>-22.589999999999996</v>
      </c>
    </row>
    <row r="19" spans="1:31" x14ac:dyDescent="0.25">
      <c r="A19" s="8" t="s">
        <v>25</v>
      </c>
      <c r="B19" s="11"/>
      <c r="C19" s="5"/>
      <c r="D19" s="13">
        <f t="shared" si="11"/>
        <v>0</v>
      </c>
      <c r="E19" s="11"/>
      <c r="F19" s="5"/>
      <c r="G19" s="13">
        <f t="shared" si="12"/>
        <v>0</v>
      </c>
      <c r="H19" s="11"/>
      <c r="I19" s="5"/>
      <c r="J19" s="13">
        <f t="shared" si="13"/>
        <v>0</v>
      </c>
      <c r="K19" s="11"/>
      <c r="L19" s="5"/>
      <c r="M19" s="13">
        <f t="shared" si="14"/>
        <v>0</v>
      </c>
      <c r="N19" s="11"/>
      <c r="O19" s="5"/>
      <c r="P19" s="13">
        <f t="shared" si="15"/>
        <v>0</v>
      </c>
      <c r="Q19" s="11"/>
      <c r="R19" s="5"/>
      <c r="S19" s="13">
        <f t="shared" si="16"/>
        <v>0</v>
      </c>
      <c r="T19" s="11"/>
      <c r="U19" s="5"/>
      <c r="V19" s="13">
        <f t="shared" si="17"/>
        <v>0</v>
      </c>
      <c r="W19" s="11"/>
      <c r="X19" s="5"/>
      <c r="Y19" s="13">
        <f t="shared" si="18"/>
        <v>0</v>
      </c>
      <c r="Z19" s="11"/>
      <c r="AA19" s="5"/>
      <c r="AB19" s="13">
        <f t="shared" si="19"/>
        <v>0</v>
      </c>
      <c r="AC19" s="14">
        <f t="shared" si="20"/>
        <v>0</v>
      </c>
      <c r="AD19" s="6">
        <f t="shared" si="21"/>
        <v>0</v>
      </c>
      <c r="AE19" s="13">
        <f t="shared" si="22"/>
        <v>0</v>
      </c>
    </row>
    <row r="20" spans="1:31" x14ac:dyDescent="0.25">
      <c r="A20" s="8" t="s">
        <v>26</v>
      </c>
      <c r="B20" s="14">
        <f>29079.88</f>
        <v>29079.88</v>
      </c>
      <c r="C20" s="6">
        <f>18995.25</f>
        <v>18995.25</v>
      </c>
      <c r="D20" s="13">
        <f t="shared" si="11"/>
        <v>10084.630000000001</v>
      </c>
      <c r="E20" s="14">
        <f>23511.64</f>
        <v>23511.64</v>
      </c>
      <c r="F20" s="6">
        <f>18995.25</f>
        <v>18995.25</v>
      </c>
      <c r="G20" s="13">
        <f t="shared" si="12"/>
        <v>4516.3899999999994</v>
      </c>
      <c r="H20" s="14">
        <f>56610.61</f>
        <v>56610.61</v>
      </c>
      <c r="I20" s="6">
        <f>18995.25</f>
        <v>18995.25</v>
      </c>
      <c r="J20" s="13">
        <f t="shared" si="13"/>
        <v>37615.360000000001</v>
      </c>
      <c r="K20" s="11"/>
      <c r="L20" s="6">
        <f>18995.25</f>
        <v>18995.25</v>
      </c>
      <c r="M20" s="13">
        <f t="shared" si="14"/>
        <v>-18995.25</v>
      </c>
      <c r="N20" s="14">
        <f>27682.71</f>
        <v>27682.71</v>
      </c>
      <c r="O20" s="6">
        <f>18995.25</f>
        <v>18995.25</v>
      </c>
      <c r="P20" s="13">
        <f t="shared" si="15"/>
        <v>8687.4599999999991</v>
      </c>
      <c r="Q20" s="14">
        <f>46105.16</f>
        <v>46105.16</v>
      </c>
      <c r="R20" s="6">
        <f>18995.25</f>
        <v>18995.25</v>
      </c>
      <c r="S20" s="13">
        <f t="shared" si="16"/>
        <v>27109.910000000003</v>
      </c>
      <c r="T20" s="14">
        <f>28381.05</f>
        <v>28381.05</v>
      </c>
      <c r="U20" s="6">
        <f>18995.25</f>
        <v>18995.25</v>
      </c>
      <c r="V20" s="13">
        <f t="shared" si="17"/>
        <v>9385.7999999999993</v>
      </c>
      <c r="W20" s="14">
        <f>43462.66</f>
        <v>43462.66</v>
      </c>
      <c r="X20" s="6">
        <f>18995.25</f>
        <v>18995.25</v>
      </c>
      <c r="Y20" s="13">
        <f t="shared" si="18"/>
        <v>24467.410000000003</v>
      </c>
      <c r="Z20" s="14">
        <f>24279.9</f>
        <v>24279.9</v>
      </c>
      <c r="AA20" s="6">
        <f>18995.25</f>
        <v>18995.25</v>
      </c>
      <c r="AB20" s="13">
        <f t="shared" si="19"/>
        <v>5284.6500000000015</v>
      </c>
      <c r="AC20" s="14">
        <f t="shared" si="20"/>
        <v>279113.61</v>
      </c>
      <c r="AD20" s="6">
        <f t="shared" si="21"/>
        <v>170957.25</v>
      </c>
      <c r="AE20" s="13">
        <f t="shared" si="22"/>
        <v>108156.35999999999</v>
      </c>
    </row>
    <row r="21" spans="1:31" x14ac:dyDescent="0.25">
      <c r="A21" s="8" t="s">
        <v>27</v>
      </c>
      <c r="B21" s="14">
        <f>25.96</f>
        <v>25.96</v>
      </c>
      <c r="C21" s="6">
        <f>100</f>
        <v>100</v>
      </c>
      <c r="D21" s="13">
        <f t="shared" si="11"/>
        <v>-74.039999999999992</v>
      </c>
      <c r="E21" s="14">
        <f>84.26</f>
        <v>84.26</v>
      </c>
      <c r="F21" s="6">
        <f>100</f>
        <v>100</v>
      </c>
      <c r="G21" s="13">
        <f t="shared" si="12"/>
        <v>-15.739999999999995</v>
      </c>
      <c r="H21" s="11"/>
      <c r="I21" s="6">
        <f>100</f>
        <v>100</v>
      </c>
      <c r="J21" s="13">
        <f t="shared" si="13"/>
        <v>-100</v>
      </c>
      <c r="K21" s="11"/>
      <c r="L21" s="6">
        <f>100</f>
        <v>100</v>
      </c>
      <c r="M21" s="13">
        <f t="shared" si="14"/>
        <v>-100</v>
      </c>
      <c r="N21" s="14">
        <f>0</f>
        <v>0</v>
      </c>
      <c r="O21" s="6">
        <f>100</f>
        <v>100</v>
      </c>
      <c r="P21" s="13">
        <f t="shared" si="15"/>
        <v>-100</v>
      </c>
      <c r="Q21" s="11"/>
      <c r="R21" s="6">
        <f>100</f>
        <v>100</v>
      </c>
      <c r="S21" s="13">
        <f t="shared" si="16"/>
        <v>-100</v>
      </c>
      <c r="T21" s="11"/>
      <c r="U21" s="6">
        <f>100</f>
        <v>100</v>
      </c>
      <c r="V21" s="13">
        <f t="shared" si="17"/>
        <v>-100</v>
      </c>
      <c r="W21" s="14">
        <f>476.46</f>
        <v>476.46</v>
      </c>
      <c r="X21" s="6">
        <f>100</f>
        <v>100</v>
      </c>
      <c r="Y21" s="13">
        <f t="shared" si="18"/>
        <v>376.46</v>
      </c>
      <c r="Z21" s="14">
        <f>124.21</f>
        <v>124.21</v>
      </c>
      <c r="AA21" s="6">
        <f>100</f>
        <v>100</v>
      </c>
      <c r="AB21" s="13">
        <f t="shared" si="19"/>
        <v>24.209999999999994</v>
      </c>
      <c r="AC21" s="14">
        <f t="shared" si="20"/>
        <v>710.89</v>
      </c>
      <c r="AD21" s="6">
        <f t="shared" si="21"/>
        <v>900</v>
      </c>
      <c r="AE21" s="13">
        <f t="shared" si="22"/>
        <v>-189.11</v>
      </c>
    </row>
    <row r="22" spans="1:31" x14ac:dyDescent="0.25">
      <c r="A22" s="8" t="s">
        <v>28</v>
      </c>
      <c r="B22" s="14">
        <f>858.12</f>
        <v>858.12</v>
      </c>
      <c r="C22" s="6">
        <f>466.67</f>
        <v>466.67</v>
      </c>
      <c r="D22" s="13">
        <f t="shared" si="11"/>
        <v>391.45</v>
      </c>
      <c r="E22" s="14">
        <f>458.77</f>
        <v>458.77</v>
      </c>
      <c r="F22" s="6">
        <f>466.67</f>
        <v>466.67</v>
      </c>
      <c r="G22" s="13">
        <f t="shared" si="12"/>
        <v>-7.9000000000000341</v>
      </c>
      <c r="H22" s="14">
        <f>615.33</f>
        <v>615.33000000000004</v>
      </c>
      <c r="I22" s="6">
        <f>466.67</f>
        <v>466.67</v>
      </c>
      <c r="J22" s="13">
        <f t="shared" si="13"/>
        <v>148.66000000000003</v>
      </c>
      <c r="K22" s="14">
        <f>657.96</f>
        <v>657.96</v>
      </c>
      <c r="L22" s="6">
        <f>466.67</f>
        <v>466.67</v>
      </c>
      <c r="M22" s="13">
        <f t="shared" si="14"/>
        <v>191.29000000000002</v>
      </c>
      <c r="N22" s="14">
        <f>659.03</f>
        <v>659.03</v>
      </c>
      <c r="O22" s="6">
        <f>466.67</f>
        <v>466.67</v>
      </c>
      <c r="P22" s="13">
        <f t="shared" si="15"/>
        <v>192.35999999999996</v>
      </c>
      <c r="Q22" s="14">
        <f>871.46</f>
        <v>871.46</v>
      </c>
      <c r="R22" s="6">
        <f>466.67</f>
        <v>466.67</v>
      </c>
      <c r="S22" s="13">
        <f t="shared" si="16"/>
        <v>404.79</v>
      </c>
      <c r="T22" s="14">
        <f>725.07</f>
        <v>725.07</v>
      </c>
      <c r="U22" s="6">
        <f>466.67</f>
        <v>466.67</v>
      </c>
      <c r="V22" s="13">
        <f t="shared" si="17"/>
        <v>258.40000000000003</v>
      </c>
      <c r="W22" s="14">
        <f>524.29</f>
        <v>524.29</v>
      </c>
      <c r="X22" s="6">
        <f>466.67</f>
        <v>466.67</v>
      </c>
      <c r="Y22" s="13">
        <f t="shared" si="18"/>
        <v>57.619999999999948</v>
      </c>
      <c r="Z22" s="14">
        <f>546.72</f>
        <v>546.72</v>
      </c>
      <c r="AA22" s="6">
        <f>466.66</f>
        <v>466.66</v>
      </c>
      <c r="AB22" s="13">
        <f t="shared" si="19"/>
        <v>80.06</v>
      </c>
      <c r="AC22" s="14">
        <f t="shared" si="20"/>
        <v>5916.75</v>
      </c>
      <c r="AD22" s="6">
        <f t="shared" si="21"/>
        <v>4200.0200000000004</v>
      </c>
      <c r="AE22" s="13">
        <f t="shared" si="22"/>
        <v>1716.7299999999996</v>
      </c>
    </row>
    <row r="23" spans="1:31" x14ac:dyDescent="0.25">
      <c r="A23" s="8" t="s">
        <v>29</v>
      </c>
      <c r="B23" s="14">
        <f>826.6</f>
        <v>826.6</v>
      </c>
      <c r="C23" s="6">
        <f>207.49</f>
        <v>207.49</v>
      </c>
      <c r="D23" s="13">
        <f t="shared" si="11"/>
        <v>619.11</v>
      </c>
      <c r="E23" s="11"/>
      <c r="F23" s="6">
        <f>207.49</f>
        <v>207.49</v>
      </c>
      <c r="G23" s="13">
        <f t="shared" si="12"/>
        <v>-207.49</v>
      </c>
      <c r="H23" s="11"/>
      <c r="I23" s="6">
        <f>207.49</f>
        <v>207.49</v>
      </c>
      <c r="J23" s="13">
        <f t="shared" si="13"/>
        <v>-207.49</v>
      </c>
      <c r="K23" s="14">
        <f>839.4</f>
        <v>839.4</v>
      </c>
      <c r="L23" s="6">
        <f>207.49</f>
        <v>207.49</v>
      </c>
      <c r="M23" s="13">
        <f t="shared" si="14"/>
        <v>631.91</v>
      </c>
      <c r="N23" s="11"/>
      <c r="O23" s="6">
        <f>207.49</f>
        <v>207.49</v>
      </c>
      <c r="P23" s="13">
        <f t="shared" si="15"/>
        <v>-207.49</v>
      </c>
      <c r="Q23" s="14">
        <f>830.34</f>
        <v>830.34</v>
      </c>
      <c r="R23" s="6">
        <f>207.49</f>
        <v>207.49</v>
      </c>
      <c r="S23" s="13">
        <f t="shared" si="16"/>
        <v>622.85</v>
      </c>
      <c r="T23" s="11"/>
      <c r="U23" s="6">
        <f>207.49</f>
        <v>207.49</v>
      </c>
      <c r="V23" s="13">
        <f t="shared" si="17"/>
        <v>-207.49</v>
      </c>
      <c r="W23" s="11"/>
      <c r="X23" s="6">
        <f>207.49</f>
        <v>207.49</v>
      </c>
      <c r="Y23" s="13">
        <f t="shared" si="18"/>
        <v>-207.49</v>
      </c>
      <c r="Z23" s="11"/>
      <c r="AA23" s="6">
        <f>207.49</f>
        <v>207.49</v>
      </c>
      <c r="AB23" s="13">
        <f t="shared" si="19"/>
        <v>-207.49</v>
      </c>
      <c r="AC23" s="14">
        <f t="shared" si="20"/>
        <v>2496.34</v>
      </c>
      <c r="AD23" s="6">
        <f t="shared" si="21"/>
        <v>1867.41</v>
      </c>
      <c r="AE23" s="13">
        <f t="shared" si="22"/>
        <v>628.93000000000006</v>
      </c>
    </row>
    <row r="24" spans="1:31" x14ac:dyDescent="0.25">
      <c r="A24" s="8" t="s">
        <v>30</v>
      </c>
      <c r="B24" s="15">
        <f>((((B19)+(B20))+(B21))+(B22))+(B23)</f>
        <v>30790.559999999998</v>
      </c>
      <c r="C24" s="7">
        <f>((((C19)+(C20))+(C21))+(C22))+(C23)</f>
        <v>19769.41</v>
      </c>
      <c r="D24" s="16">
        <f t="shared" si="11"/>
        <v>11021.149999999998</v>
      </c>
      <c r="E24" s="15">
        <f>((((E19)+(E20))+(E21))+(E22))+(E23)</f>
        <v>24054.67</v>
      </c>
      <c r="F24" s="7">
        <f>((((F19)+(F20))+(F21))+(F22))+(F23)</f>
        <v>19769.41</v>
      </c>
      <c r="G24" s="16">
        <f t="shared" si="12"/>
        <v>4285.2599999999984</v>
      </c>
      <c r="H24" s="15">
        <f>((((H19)+(H20))+(H21))+(H22))+(H23)</f>
        <v>57225.94</v>
      </c>
      <c r="I24" s="7">
        <f>((((I19)+(I20))+(I21))+(I22))+(I23)</f>
        <v>19769.41</v>
      </c>
      <c r="J24" s="16">
        <f t="shared" si="13"/>
        <v>37456.53</v>
      </c>
      <c r="K24" s="15">
        <f>((((K19)+(K20))+(K21))+(K22))+(K23)</f>
        <v>1497.3600000000001</v>
      </c>
      <c r="L24" s="7">
        <f>((((L19)+(L20))+(L21))+(L22))+(L23)</f>
        <v>19769.41</v>
      </c>
      <c r="M24" s="16">
        <f t="shared" si="14"/>
        <v>-18272.05</v>
      </c>
      <c r="N24" s="15">
        <f>((((N19)+(N20))+(N21))+(N22))+(N23)</f>
        <v>28341.739999999998</v>
      </c>
      <c r="O24" s="7">
        <f>((((O19)+(O20))+(O21))+(O22))+(O23)</f>
        <v>19769.41</v>
      </c>
      <c r="P24" s="16">
        <f t="shared" si="15"/>
        <v>8572.3299999999981</v>
      </c>
      <c r="Q24" s="15">
        <f>((((Q19)+(Q20))+(Q21))+(Q22))+(Q23)</f>
        <v>47806.96</v>
      </c>
      <c r="R24" s="7">
        <f>((((R19)+(R20))+(R21))+(R22))+(R23)</f>
        <v>19769.41</v>
      </c>
      <c r="S24" s="16">
        <f t="shared" si="16"/>
        <v>28037.55</v>
      </c>
      <c r="T24" s="15">
        <f>((((T19)+(T20))+(T21))+(T22))+(T23)</f>
        <v>29106.12</v>
      </c>
      <c r="U24" s="7">
        <f>((((U19)+(U20))+(U21))+(U22))+(U23)</f>
        <v>19769.41</v>
      </c>
      <c r="V24" s="16">
        <f t="shared" si="17"/>
        <v>9336.7099999999991</v>
      </c>
      <c r="W24" s="15">
        <f>((((W19)+(W20))+(W21))+(W22))+(W23)</f>
        <v>44463.41</v>
      </c>
      <c r="X24" s="7">
        <f>((((X19)+(X20))+(X21))+(X22))+(X23)</f>
        <v>19769.41</v>
      </c>
      <c r="Y24" s="16">
        <f t="shared" si="18"/>
        <v>24694.000000000004</v>
      </c>
      <c r="Z24" s="15">
        <f>((((Z19)+(Z20))+(Z21))+(Z22))+(Z23)</f>
        <v>24950.83</v>
      </c>
      <c r="AA24" s="7">
        <f>((((AA19)+(AA20))+(AA21))+(AA22))+(AA23)</f>
        <v>19769.400000000001</v>
      </c>
      <c r="AB24" s="16">
        <f t="shared" si="19"/>
        <v>5181.43</v>
      </c>
      <c r="AC24" s="15">
        <f t="shared" si="20"/>
        <v>288237.59000000003</v>
      </c>
      <c r="AD24" s="7">
        <f t="shared" si="21"/>
        <v>177924.68</v>
      </c>
      <c r="AE24" s="16">
        <f t="shared" si="22"/>
        <v>110312.91000000003</v>
      </c>
    </row>
    <row r="25" spans="1:31" x14ac:dyDescent="0.25">
      <c r="A25" s="8" t="s">
        <v>31</v>
      </c>
      <c r="B25" s="15">
        <f>(((B16)+(B17))+(B18))+(B24)</f>
        <v>30790.559999999998</v>
      </c>
      <c r="C25" s="7">
        <f>(((C16)+(C17))+(C18))+(C24)</f>
        <v>19830.25</v>
      </c>
      <c r="D25" s="16">
        <f t="shared" si="11"/>
        <v>10960.309999999998</v>
      </c>
      <c r="E25" s="15">
        <f>(((E16)+(E17))+(E18))+(E24)</f>
        <v>24054.67</v>
      </c>
      <c r="F25" s="7">
        <f>(((F16)+(F17))+(F18))+(F24)</f>
        <v>19830.25</v>
      </c>
      <c r="G25" s="16">
        <f t="shared" si="12"/>
        <v>4224.4199999999983</v>
      </c>
      <c r="H25" s="15">
        <f>(((H16)+(H17))+(H18))+(H24)</f>
        <v>57225.94</v>
      </c>
      <c r="I25" s="7">
        <f>(((I16)+(I17))+(I18))+(I24)</f>
        <v>19830.25</v>
      </c>
      <c r="J25" s="16">
        <f t="shared" si="13"/>
        <v>37395.69</v>
      </c>
      <c r="K25" s="15">
        <f>(((K16)+(K17))+(K18))+(K24)</f>
        <v>1497.3600000000001</v>
      </c>
      <c r="L25" s="7">
        <f>(((L16)+(L17))+(L18))+(L24)</f>
        <v>19830.25</v>
      </c>
      <c r="M25" s="16">
        <f t="shared" si="14"/>
        <v>-18332.89</v>
      </c>
      <c r="N25" s="15">
        <f>(((N16)+(N17))+(N18))+(N24)</f>
        <v>28341.739999999998</v>
      </c>
      <c r="O25" s="7">
        <f>(((O16)+(O17))+(O18))+(O24)</f>
        <v>19830.25</v>
      </c>
      <c r="P25" s="16">
        <f t="shared" si="15"/>
        <v>8511.489999999998</v>
      </c>
      <c r="Q25" s="15">
        <f>(((Q16)+(Q17))+(Q18))+(Q24)</f>
        <v>47806.96</v>
      </c>
      <c r="R25" s="7">
        <f>(((R16)+(R17))+(R18))+(R24)</f>
        <v>19830.25</v>
      </c>
      <c r="S25" s="16">
        <f t="shared" si="16"/>
        <v>27976.71</v>
      </c>
      <c r="T25" s="15">
        <f>(((T16)+(T17))+(T18))+(T24)</f>
        <v>29106.12</v>
      </c>
      <c r="U25" s="7">
        <f>(((U16)+(U17))+(U18))+(U24)</f>
        <v>19830.25</v>
      </c>
      <c r="V25" s="16">
        <f t="shared" si="17"/>
        <v>9275.869999999999</v>
      </c>
      <c r="W25" s="15">
        <f>(((W16)+(W17))+(W18))+(W24)</f>
        <v>44463.41</v>
      </c>
      <c r="X25" s="7">
        <f>(((X16)+(X17))+(X18))+(X24)</f>
        <v>19830.25</v>
      </c>
      <c r="Y25" s="16">
        <f t="shared" si="18"/>
        <v>24633.160000000003</v>
      </c>
      <c r="Z25" s="15">
        <f>(((Z16)+(Z17))+(Z18))+(Z24)</f>
        <v>24950.83</v>
      </c>
      <c r="AA25" s="7">
        <f>(((AA16)+(AA17))+(AA18))+(AA24)</f>
        <v>19830.25</v>
      </c>
      <c r="AB25" s="16">
        <f t="shared" si="19"/>
        <v>5120.5800000000017</v>
      </c>
      <c r="AC25" s="15">
        <f t="shared" si="20"/>
        <v>288237.59000000003</v>
      </c>
      <c r="AD25" s="7">
        <f t="shared" si="21"/>
        <v>178472.25</v>
      </c>
      <c r="AE25" s="16">
        <f t="shared" si="22"/>
        <v>109765.34000000003</v>
      </c>
    </row>
    <row r="26" spans="1:31" x14ac:dyDescent="0.25">
      <c r="A26" s="8" t="s">
        <v>32</v>
      </c>
      <c r="B26" s="15">
        <f>(B14)-(B25)</f>
        <v>30409.040000000001</v>
      </c>
      <c r="C26" s="7">
        <f>(C14)-(C25)</f>
        <v>18135.259999999995</v>
      </c>
      <c r="D26" s="16">
        <f t="shared" si="11"/>
        <v>12273.780000000006</v>
      </c>
      <c r="E26" s="15">
        <f>(E14)-(E25)</f>
        <v>17795.869999999995</v>
      </c>
      <c r="F26" s="7">
        <f>(F14)-(F25)</f>
        <v>18135.259999999995</v>
      </c>
      <c r="G26" s="16">
        <f t="shared" si="12"/>
        <v>-339.38999999999942</v>
      </c>
      <c r="H26" s="15">
        <f>(H14)-(H25)</f>
        <v>-2673.9800000000032</v>
      </c>
      <c r="I26" s="7">
        <f>(I14)-(I25)</f>
        <v>18135.259999999995</v>
      </c>
      <c r="J26" s="16">
        <f t="shared" si="13"/>
        <v>-20809.239999999998</v>
      </c>
      <c r="K26" s="15">
        <f>(K14)-(K25)</f>
        <v>49215.199999999997</v>
      </c>
      <c r="L26" s="7">
        <f>(L14)-(L25)</f>
        <v>18135.259999999995</v>
      </c>
      <c r="M26" s="16">
        <f t="shared" si="14"/>
        <v>31079.940000000002</v>
      </c>
      <c r="N26" s="15">
        <f>(N14)-(N25)</f>
        <v>25406.160000000011</v>
      </c>
      <c r="O26" s="7">
        <f>(O14)-(O25)</f>
        <v>18135.259999999995</v>
      </c>
      <c r="P26" s="16">
        <f t="shared" si="15"/>
        <v>7270.900000000016</v>
      </c>
      <c r="Q26" s="15">
        <f>(Q14)-(Q25)</f>
        <v>12467.370000000003</v>
      </c>
      <c r="R26" s="7">
        <f>(R14)-(R25)</f>
        <v>18135.259999999995</v>
      </c>
      <c r="S26" s="16">
        <f t="shared" si="16"/>
        <v>-5667.8899999999921</v>
      </c>
      <c r="T26" s="15">
        <f>(T14)-(T25)</f>
        <v>38505.240000000005</v>
      </c>
      <c r="U26" s="7">
        <f>(U14)-(U25)</f>
        <v>18135.259999999995</v>
      </c>
      <c r="V26" s="16">
        <f t="shared" si="17"/>
        <v>20369.98000000001</v>
      </c>
      <c r="W26" s="15">
        <f>(W14)-(W25)</f>
        <v>15460.519999999997</v>
      </c>
      <c r="X26" s="7">
        <f>(X14)-(X25)</f>
        <v>18135.25</v>
      </c>
      <c r="Y26" s="16">
        <f t="shared" si="18"/>
        <v>-2674.7300000000032</v>
      </c>
      <c r="Z26" s="15">
        <f>(Z14)-(Z25)</f>
        <v>44295.819999999992</v>
      </c>
      <c r="AA26" s="7">
        <f>(AA14)-(AA25)</f>
        <v>18135.25</v>
      </c>
      <c r="AB26" s="16">
        <f t="shared" si="19"/>
        <v>26160.569999999992</v>
      </c>
      <c r="AC26" s="15">
        <f t="shared" si="20"/>
        <v>230881.24</v>
      </c>
      <c r="AD26" s="7">
        <f t="shared" si="21"/>
        <v>163217.31999999995</v>
      </c>
      <c r="AE26" s="16">
        <f t="shared" si="22"/>
        <v>67663.920000000042</v>
      </c>
    </row>
    <row r="27" spans="1:31" x14ac:dyDescent="0.25">
      <c r="A27" s="8" t="s">
        <v>33</v>
      </c>
      <c r="B27" s="11"/>
      <c r="C27" s="5"/>
      <c r="D27" s="12"/>
      <c r="E27" s="11"/>
      <c r="F27" s="5"/>
      <c r="G27" s="12"/>
      <c r="H27" s="11"/>
      <c r="I27" s="5"/>
      <c r="J27" s="12"/>
      <c r="K27" s="11"/>
      <c r="L27" s="5"/>
      <c r="M27" s="12"/>
      <c r="N27" s="11"/>
      <c r="O27" s="5"/>
      <c r="P27" s="12"/>
      <c r="Q27" s="11"/>
      <c r="R27" s="5"/>
      <c r="S27" s="12"/>
      <c r="T27" s="11"/>
      <c r="U27" s="5"/>
      <c r="V27" s="12"/>
      <c r="W27" s="11"/>
      <c r="X27" s="5"/>
      <c r="Y27" s="12"/>
      <c r="Z27" s="11"/>
      <c r="AA27" s="5"/>
      <c r="AB27" s="12"/>
      <c r="AC27" s="11"/>
      <c r="AD27" s="5"/>
      <c r="AE27" s="12"/>
    </row>
    <row r="28" spans="1:31" x14ac:dyDescent="0.25">
      <c r="A28" s="8" t="s">
        <v>34</v>
      </c>
      <c r="B28" s="14">
        <f>365</f>
        <v>365</v>
      </c>
      <c r="C28" s="6">
        <f>365</f>
        <v>365</v>
      </c>
      <c r="D28" s="13">
        <f t="shared" ref="D28:D65" si="23">(B28)-(C28)</f>
        <v>0</v>
      </c>
      <c r="E28" s="11"/>
      <c r="F28" s="6">
        <f>365</f>
        <v>365</v>
      </c>
      <c r="G28" s="13">
        <f t="shared" ref="G28:G65" si="24">(E28)-(F28)</f>
        <v>-365</v>
      </c>
      <c r="H28" s="11"/>
      <c r="I28" s="6">
        <f>365</f>
        <v>365</v>
      </c>
      <c r="J28" s="13">
        <f t="shared" ref="J28:J65" si="25">(H28)-(I28)</f>
        <v>-365</v>
      </c>
      <c r="K28" s="14">
        <f>1095</f>
        <v>1095</v>
      </c>
      <c r="L28" s="6">
        <f>365</f>
        <v>365</v>
      </c>
      <c r="M28" s="13">
        <f t="shared" ref="M28:M65" si="26">(K28)-(L28)</f>
        <v>730</v>
      </c>
      <c r="N28" s="14">
        <f>730</f>
        <v>730</v>
      </c>
      <c r="O28" s="6">
        <f>365</f>
        <v>365</v>
      </c>
      <c r="P28" s="13">
        <f t="shared" ref="P28:P65" si="27">(N28)-(O28)</f>
        <v>365</v>
      </c>
      <c r="Q28" s="14">
        <f>365</f>
        <v>365</v>
      </c>
      <c r="R28" s="6">
        <f>365</f>
        <v>365</v>
      </c>
      <c r="S28" s="13">
        <f t="shared" ref="S28:S65" si="28">(Q28)-(R28)</f>
        <v>0</v>
      </c>
      <c r="T28" s="11"/>
      <c r="U28" s="6">
        <f>365</f>
        <v>365</v>
      </c>
      <c r="V28" s="13">
        <f t="shared" ref="V28:V65" si="29">(T28)-(U28)</f>
        <v>-365</v>
      </c>
      <c r="W28" s="14">
        <f>730</f>
        <v>730</v>
      </c>
      <c r="X28" s="6">
        <f>365</f>
        <v>365</v>
      </c>
      <c r="Y28" s="13">
        <f t="shared" ref="Y28:Y65" si="30">(W28)-(X28)</f>
        <v>365</v>
      </c>
      <c r="Z28" s="14">
        <f>365</f>
        <v>365</v>
      </c>
      <c r="AA28" s="6">
        <f>365</f>
        <v>365</v>
      </c>
      <c r="AB28" s="13">
        <f t="shared" ref="AB28:AB65" si="31">(Z28)-(AA28)</f>
        <v>0</v>
      </c>
      <c r="AC28" s="14">
        <f t="shared" ref="AC28:AC65" si="32">((((((((B28)+(E28))+(H28))+(K28))+(N28))+(Q28))+(T28))+(W28))+(Z28)</f>
        <v>3650</v>
      </c>
      <c r="AD28" s="6">
        <f t="shared" ref="AD28:AD65" si="33">((((((((C28)+(F28))+(I28))+(L28))+(O28))+(R28))+(U28))+(X28))+(AA28)</f>
        <v>3285</v>
      </c>
      <c r="AE28" s="13">
        <f t="shared" ref="AE28:AE65" si="34">(AC28)-(AD28)</f>
        <v>365</v>
      </c>
    </row>
    <row r="29" spans="1:31" x14ac:dyDescent="0.25">
      <c r="A29" s="8" t="s">
        <v>35</v>
      </c>
      <c r="B29" s="11"/>
      <c r="C29" s="6">
        <f>666.67</f>
        <v>666.67</v>
      </c>
      <c r="D29" s="13">
        <f t="shared" si="23"/>
        <v>-666.67</v>
      </c>
      <c r="E29" s="11"/>
      <c r="F29" s="6">
        <f>666.67</f>
        <v>666.67</v>
      </c>
      <c r="G29" s="13">
        <f t="shared" si="24"/>
        <v>-666.67</v>
      </c>
      <c r="H29" s="11"/>
      <c r="I29" s="6">
        <f>666.67</f>
        <v>666.67</v>
      </c>
      <c r="J29" s="13">
        <f t="shared" si="25"/>
        <v>-666.67</v>
      </c>
      <c r="K29" s="11"/>
      <c r="L29" s="6">
        <f>666.67</f>
        <v>666.67</v>
      </c>
      <c r="M29" s="13">
        <f t="shared" si="26"/>
        <v>-666.67</v>
      </c>
      <c r="N29" s="11"/>
      <c r="O29" s="6">
        <f>666.67</f>
        <v>666.67</v>
      </c>
      <c r="P29" s="13">
        <f t="shared" si="27"/>
        <v>-666.67</v>
      </c>
      <c r="Q29" s="11"/>
      <c r="R29" s="6">
        <f>666.67</f>
        <v>666.67</v>
      </c>
      <c r="S29" s="13">
        <f t="shared" si="28"/>
        <v>-666.67</v>
      </c>
      <c r="T29" s="11"/>
      <c r="U29" s="6">
        <f>666.67</f>
        <v>666.67</v>
      </c>
      <c r="V29" s="13">
        <f t="shared" si="29"/>
        <v>-666.67</v>
      </c>
      <c r="W29" s="11"/>
      <c r="X29" s="6">
        <f>666.67</f>
        <v>666.67</v>
      </c>
      <c r="Y29" s="13">
        <f t="shared" si="30"/>
        <v>-666.67</v>
      </c>
      <c r="Z29" s="11"/>
      <c r="AA29" s="6">
        <f>666.66</f>
        <v>666.66</v>
      </c>
      <c r="AB29" s="13">
        <f t="shared" si="31"/>
        <v>-666.66</v>
      </c>
      <c r="AC29" s="14">
        <f t="shared" si="32"/>
        <v>0</v>
      </c>
      <c r="AD29" s="6">
        <f t="shared" si="33"/>
        <v>6000.0199999999995</v>
      </c>
      <c r="AE29" s="13">
        <f t="shared" si="34"/>
        <v>-6000.0199999999995</v>
      </c>
    </row>
    <row r="30" spans="1:31" x14ac:dyDescent="0.25">
      <c r="A30" s="8" t="s">
        <v>36</v>
      </c>
      <c r="B30" s="14">
        <f>65.2</f>
        <v>65.2</v>
      </c>
      <c r="C30" s="6">
        <f>208.33</f>
        <v>208.33</v>
      </c>
      <c r="D30" s="13">
        <f t="shared" si="23"/>
        <v>-143.13</v>
      </c>
      <c r="E30" s="14">
        <f>-11.64</f>
        <v>-11.64</v>
      </c>
      <c r="F30" s="6">
        <f>208.33</f>
        <v>208.33</v>
      </c>
      <c r="G30" s="13">
        <f t="shared" si="24"/>
        <v>-219.97000000000003</v>
      </c>
      <c r="H30" s="11"/>
      <c r="I30" s="6">
        <f>208.33</f>
        <v>208.33</v>
      </c>
      <c r="J30" s="13">
        <f t="shared" si="25"/>
        <v>-208.33</v>
      </c>
      <c r="K30" s="11"/>
      <c r="L30" s="6">
        <f>208.33</f>
        <v>208.33</v>
      </c>
      <c r="M30" s="13">
        <f t="shared" si="26"/>
        <v>-208.33</v>
      </c>
      <c r="N30" s="11"/>
      <c r="O30" s="6">
        <f>208.33</f>
        <v>208.33</v>
      </c>
      <c r="P30" s="13">
        <f t="shared" si="27"/>
        <v>-208.33</v>
      </c>
      <c r="Q30" s="11"/>
      <c r="R30" s="6">
        <f>208.33</f>
        <v>208.33</v>
      </c>
      <c r="S30" s="13">
        <f t="shared" si="28"/>
        <v>-208.33</v>
      </c>
      <c r="T30" s="11"/>
      <c r="U30" s="6">
        <f>208.33</f>
        <v>208.33</v>
      </c>
      <c r="V30" s="13">
        <f t="shared" si="29"/>
        <v>-208.33</v>
      </c>
      <c r="W30" s="11"/>
      <c r="X30" s="6">
        <f>208.33</f>
        <v>208.33</v>
      </c>
      <c r="Y30" s="13">
        <f t="shared" si="30"/>
        <v>-208.33</v>
      </c>
      <c r="Z30" s="11"/>
      <c r="AA30" s="6">
        <f>208.33</f>
        <v>208.33</v>
      </c>
      <c r="AB30" s="13">
        <f t="shared" si="31"/>
        <v>-208.33</v>
      </c>
      <c r="AC30" s="14">
        <f t="shared" si="32"/>
        <v>53.56</v>
      </c>
      <c r="AD30" s="6">
        <f t="shared" si="33"/>
        <v>1874.9699999999998</v>
      </c>
      <c r="AE30" s="13">
        <f t="shared" si="34"/>
        <v>-1821.4099999999999</v>
      </c>
    </row>
    <row r="31" spans="1:31" x14ac:dyDescent="0.25">
      <c r="A31" s="8" t="s">
        <v>37</v>
      </c>
      <c r="B31" s="11"/>
      <c r="C31" s="6">
        <f>50</f>
        <v>50</v>
      </c>
      <c r="D31" s="13">
        <f t="shared" si="23"/>
        <v>-50</v>
      </c>
      <c r="E31" s="14">
        <f>166.78</f>
        <v>166.78</v>
      </c>
      <c r="F31" s="6">
        <f>50</f>
        <v>50</v>
      </c>
      <c r="G31" s="13">
        <f t="shared" si="24"/>
        <v>116.78</v>
      </c>
      <c r="H31" s="11"/>
      <c r="I31" s="6">
        <f>50</f>
        <v>50</v>
      </c>
      <c r="J31" s="13">
        <f t="shared" si="25"/>
        <v>-50</v>
      </c>
      <c r="K31" s="11"/>
      <c r="L31" s="6">
        <f>50</f>
        <v>50</v>
      </c>
      <c r="M31" s="13">
        <f t="shared" si="26"/>
        <v>-50</v>
      </c>
      <c r="N31" s="11"/>
      <c r="O31" s="6">
        <f>50</f>
        <v>50</v>
      </c>
      <c r="P31" s="13">
        <f t="shared" si="27"/>
        <v>-50</v>
      </c>
      <c r="Q31" s="11"/>
      <c r="R31" s="6">
        <f>50</f>
        <v>50</v>
      </c>
      <c r="S31" s="13">
        <f t="shared" si="28"/>
        <v>-50</v>
      </c>
      <c r="T31" s="11"/>
      <c r="U31" s="6">
        <f>50</f>
        <v>50</v>
      </c>
      <c r="V31" s="13">
        <f t="shared" si="29"/>
        <v>-50</v>
      </c>
      <c r="W31" s="11"/>
      <c r="X31" s="6">
        <f>50</f>
        <v>50</v>
      </c>
      <c r="Y31" s="13">
        <f t="shared" si="30"/>
        <v>-50</v>
      </c>
      <c r="Z31" s="11"/>
      <c r="AA31" s="6">
        <f>50</f>
        <v>50</v>
      </c>
      <c r="AB31" s="13">
        <f t="shared" si="31"/>
        <v>-50</v>
      </c>
      <c r="AC31" s="14">
        <f t="shared" si="32"/>
        <v>166.78</v>
      </c>
      <c r="AD31" s="6">
        <f t="shared" si="33"/>
        <v>450</v>
      </c>
      <c r="AE31" s="13">
        <f t="shared" si="34"/>
        <v>-283.22000000000003</v>
      </c>
    </row>
    <row r="32" spans="1:31" x14ac:dyDescent="0.25">
      <c r="A32" s="8" t="s">
        <v>38</v>
      </c>
      <c r="B32" s="11"/>
      <c r="C32" s="6">
        <f>62.5</f>
        <v>62.5</v>
      </c>
      <c r="D32" s="13">
        <f t="shared" si="23"/>
        <v>-62.5</v>
      </c>
      <c r="E32" s="14">
        <f>46.34</f>
        <v>46.34</v>
      </c>
      <c r="F32" s="6">
        <f>62.5</f>
        <v>62.5</v>
      </c>
      <c r="G32" s="13">
        <f t="shared" si="24"/>
        <v>-16.159999999999997</v>
      </c>
      <c r="H32" s="14">
        <f>165.75</f>
        <v>165.75</v>
      </c>
      <c r="I32" s="6">
        <f>62.5</f>
        <v>62.5</v>
      </c>
      <c r="J32" s="13">
        <f t="shared" si="25"/>
        <v>103.25</v>
      </c>
      <c r="K32" s="11"/>
      <c r="L32" s="6">
        <f>62.5</f>
        <v>62.5</v>
      </c>
      <c r="M32" s="13">
        <f t="shared" si="26"/>
        <v>-62.5</v>
      </c>
      <c r="N32" s="11"/>
      <c r="O32" s="6">
        <f>62.5</f>
        <v>62.5</v>
      </c>
      <c r="P32" s="13">
        <f t="shared" si="27"/>
        <v>-62.5</v>
      </c>
      <c r="Q32" s="14">
        <f>165.75</f>
        <v>165.75</v>
      </c>
      <c r="R32" s="6">
        <f>62.5</f>
        <v>62.5</v>
      </c>
      <c r="S32" s="13">
        <f t="shared" si="28"/>
        <v>103.25</v>
      </c>
      <c r="T32" s="11"/>
      <c r="U32" s="6">
        <f>62.5</f>
        <v>62.5</v>
      </c>
      <c r="V32" s="13">
        <f t="shared" si="29"/>
        <v>-62.5</v>
      </c>
      <c r="W32" s="11"/>
      <c r="X32" s="6">
        <f>62.5</f>
        <v>62.5</v>
      </c>
      <c r="Y32" s="13">
        <f t="shared" si="30"/>
        <v>-62.5</v>
      </c>
      <c r="Z32" s="14">
        <f>165.75</f>
        <v>165.75</v>
      </c>
      <c r="AA32" s="6">
        <f>62.5</f>
        <v>62.5</v>
      </c>
      <c r="AB32" s="13">
        <f t="shared" si="31"/>
        <v>103.25</v>
      </c>
      <c r="AC32" s="14">
        <f t="shared" si="32"/>
        <v>543.59</v>
      </c>
      <c r="AD32" s="6">
        <f t="shared" si="33"/>
        <v>562.5</v>
      </c>
      <c r="AE32" s="13">
        <f t="shared" si="34"/>
        <v>-18.909999999999968</v>
      </c>
    </row>
    <row r="33" spans="1:31" x14ac:dyDescent="0.25">
      <c r="A33" s="8" t="s">
        <v>39</v>
      </c>
      <c r="B33" s="14">
        <f>150</f>
        <v>150</v>
      </c>
      <c r="C33" s="6">
        <f>150</f>
        <v>150</v>
      </c>
      <c r="D33" s="13">
        <f t="shared" si="23"/>
        <v>0</v>
      </c>
      <c r="E33" s="14">
        <f>120</f>
        <v>120</v>
      </c>
      <c r="F33" s="6">
        <f>150</f>
        <v>150</v>
      </c>
      <c r="G33" s="13">
        <f t="shared" si="24"/>
        <v>-30</v>
      </c>
      <c r="H33" s="14">
        <f>120</f>
        <v>120</v>
      </c>
      <c r="I33" s="6">
        <f>150</f>
        <v>150</v>
      </c>
      <c r="J33" s="13">
        <f t="shared" si="25"/>
        <v>-30</v>
      </c>
      <c r="K33" s="14">
        <f>120</f>
        <v>120</v>
      </c>
      <c r="L33" s="6">
        <f>150</f>
        <v>150</v>
      </c>
      <c r="M33" s="13">
        <f t="shared" si="26"/>
        <v>-30</v>
      </c>
      <c r="N33" s="14">
        <f>120</f>
        <v>120</v>
      </c>
      <c r="O33" s="6">
        <f>150</f>
        <v>150</v>
      </c>
      <c r="P33" s="13">
        <f t="shared" si="27"/>
        <v>-30</v>
      </c>
      <c r="Q33" s="14">
        <f>120</f>
        <v>120</v>
      </c>
      <c r="R33" s="6">
        <f>150</f>
        <v>150</v>
      </c>
      <c r="S33" s="13">
        <f t="shared" si="28"/>
        <v>-30</v>
      </c>
      <c r="T33" s="14">
        <f>120</f>
        <v>120</v>
      </c>
      <c r="U33" s="6">
        <f>150</f>
        <v>150</v>
      </c>
      <c r="V33" s="13">
        <f t="shared" si="29"/>
        <v>-30</v>
      </c>
      <c r="W33" s="14">
        <f>120</f>
        <v>120</v>
      </c>
      <c r="X33" s="6">
        <f>150</f>
        <v>150</v>
      </c>
      <c r="Y33" s="13">
        <f t="shared" si="30"/>
        <v>-30</v>
      </c>
      <c r="Z33" s="14">
        <f>120</f>
        <v>120</v>
      </c>
      <c r="AA33" s="6">
        <f>150</f>
        <v>150</v>
      </c>
      <c r="AB33" s="13">
        <f t="shared" si="31"/>
        <v>-30</v>
      </c>
      <c r="AC33" s="14">
        <f t="shared" si="32"/>
        <v>1110</v>
      </c>
      <c r="AD33" s="6">
        <f t="shared" si="33"/>
        <v>1350</v>
      </c>
      <c r="AE33" s="13">
        <f t="shared" si="34"/>
        <v>-240</v>
      </c>
    </row>
    <row r="34" spans="1:31" x14ac:dyDescent="0.25">
      <c r="A34" s="8" t="s">
        <v>40</v>
      </c>
      <c r="B34" s="11"/>
      <c r="C34" s="6">
        <f>41.67</f>
        <v>41.67</v>
      </c>
      <c r="D34" s="13">
        <f t="shared" si="23"/>
        <v>-41.67</v>
      </c>
      <c r="E34" s="11"/>
      <c r="F34" s="6">
        <f>41.67</f>
        <v>41.67</v>
      </c>
      <c r="G34" s="13">
        <f t="shared" si="24"/>
        <v>-41.67</v>
      </c>
      <c r="H34" s="11"/>
      <c r="I34" s="6">
        <f>41.67</f>
        <v>41.67</v>
      </c>
      <c r="J34" s="13">
        <f t="shared" si="25"/>
        <v>-41.67</v>
      </c>
      <c r="K34" s="11"/>
      <c r="L34" s="6">
        <f>41.67</f>
        <v>41.67</v>
      </c>
      <c r="M34" s="13">
        <f t="shared" si="26"/>
        <v>-41.67</v>
      </c>
      <c r="N34" s="11"/>
      <c r="O34" s="6">
        <f>41.67</f>
        <v>41.67</v>
      </c>
      <c r="P34" s="13">
        <f t="shared" si="27"/>
        <v>-41.67</v>
      </c>
      <c r="Q34" s="11"/>
      <c r="R34" s="6">
        <f>41.67</f>
        <v>41.67</v>
      </c>
      <c r="S34" s="13">
        <f t="shared" si="28"/>
        <v>-41.67</v>
      </c>
      <c r="T34" s="11"/>
      <c r="U34" s="6">
        <f>41.67</f>
        <v>41.67</v>
      </c>
      <c r="V34" s="13">
        <f t="shared" si="29"/>
        <v>-41.67</v>
      </c>
      <c r="W34" s="14">
        <f>637.5</f>
        <v>637.5</v>
      </c>
      <c r="X34" s="6">
        <f>41.67</f>
        <v>41.67</v>
      </c>
      <c r="Y34" s="13">
        <f t="shared" si="30"/>
        <v>595.83000000000004</v>
      </c>
      <c r="Z34" s="11"/>
      <c r="AA34" s="6">
        <f>41.66</f>
        <v>41.66</v>
      </c>
      <c r="AB34" s="13">
        <f t="shared" si="31"/>
        <v>-41.66</v>
      </c>
      <c r="AC34" s="14">
        <f t="shared" si="32"/>
        <v>637.5</v>
      </c>
      <c r="AD34" s="6">
        <f t="shared" si="33"/>
        <v>375.0200000000001</v>
      </c>
      <c r="AE34" s="13">
        <f t="shared" si="34"/>
        <v>262.4799999999999</v>
      </c>
    </row>
    <row r="35" spans="1:31" x14ac:dyDescent="0.25">
      <c r="A35" s="8" t="s">
        <v>41</v>
      </c>
      <c r="B35" s="14">
        <f>110.18</f>
        <v>110.18</v>
      </c>
      <c r="C35" s="6">
        <f>16.67</f>
        <v>16.670000000000002</v>
      </c>
      <c r="D35" s="13">
        <f t="shared" si="23"/>
        <v>93.51</v>
      </c>
      <c r="E35" s="14">
        <f>24.77</f>
        <v>24.77</v>
      </c>
      <c r="F35" s="6">
        <f>16.67</f>
        <v>16.670000000000002</v>
      </c>
      <c r="G35" s="13">
        <f t="shared" si="24"/>
        <v>8.0999999999999979</v>
      </c>
      <c r="H35" s="14">
        <f>19.97</f>
        <v>19.97</v>
      </c>
      <c r="I35" s="6">
        <f>16.67</f>
        <v>16.670000000000002</v>
      </c>
      <c r="J35" s="13">
        <f t="shared" si="25"/>
        <v>3.2999999999999972</v>
      </c>
      <c r="K35" s="14">
        <f>29.44</f>
        <v>29.44</v>
      </c>
      <c r="L35" s="6">
        <f>16.67</f>
        <v>16.670000000000002</v>
      </c>
      <c r="M35" s="13">
        <f t="shared" si="26"/>
        <v>12.77</v>
      </c>
      <c r="N35" s="14">
        <f>29.44</f>
        <v>29.44</v>
      </c>
      <c r="O35" s="6">
        <f>16.67</f>
        <v>16.670000000000002</v>
      </c>
      <c r="P35" s="13">
        <f t="shared" si="27"/>
        <v>12.77</v>
      </c>
      <c r="Q35" s="14">
        <f>18.41</f>
        <v>18.41</v>
      </c>
      <c r="R35" s="6">
        <f>16.67</f>
        <v>16.670000000000002</v>
      </c>
      <c r="S35" s="13">
        <f t="shared" si="28"/>
        <v>1.7399999999999984</v>
      </c>
      <c r="T35" s="14">
        <f>15.05</f>
        <v>15.05</v>
      </c>
      <c r="U35" s="6">
        <f>16.67</f>
        <v>16.670000000000002</v>
      </c>
      <c r="V35" s="13">
        <f t="shared" si="29"/>
        <v>-1.620000000000001</v>
      </c>
      <c r="W35" s="14">
        <f>10.05</f>
        <v>10.050000000000001</v>
      </c>
      <c r="X35" s="6">
        <f>16.67</f>
        <v>16.670000000000002</v>
      </c>
      <c r="Y35" s="13">
        <f t="shared" si="30"/>
        <v>-6.620000000000001</v>
      </c>
      <c r="Z35" s="14">
        <f>7.25</f>
        <v>7.25</v>
      </c>
      <c r="AA35" s="6">
        <f>16.66</f>
        <v>16.66</v>
      </c>
      <c r="AB35" s="13">
        <f t="shared" si="31"/>
        <v>-9.41</v>
      </c>
      <c r="AC35" s="14">
        <f t="shared" si="32"/>
        <v>264.56</v>
      </c>
      <c r="AD35" s="6">
        <f t="shared" si="33"/>
        <v>150.02000000000001</v>
      </c>
      <c r="AE35" s="13">
        <f t="shared" si="34"/>
        <v>114.53999999999999</v>
      </c>
    </row>
    <row r="36" spans="1:31" x14ac:dyDescent="0.25">
      <c r="A36" s="8" t="s">
        <v>42</v>
      </c>
      <c r="B36" s="14">
        <f>175</f>
        <v>175</v>
      </c>
      <c r="C36" s="6">
        <f>395.83</f>
        <v>395.83</v>
      </c>
      <c r="D36" s="13">
        <f t="shared" si="23"/>
        <v>-220.82999999999998</v>
      </c>
      <c r="E36" s="14">
        <f>50</f>
        <v>50</v>
      </c>
      <c r="F36" s="6">
        <f>395.83</f>
        <v>395.83</v>
      </c>
      <c r="G36" s="13">
        <f t="shared" si="24"/>
        <v>-345.83</v>
      </c>
      <c r="H36" s="14">
        <f>-1074</f>
        <v>-1074</v>
      </c>
      <c r="I36" s="6">
        <f>395.83</f>
        <v>395.83</v>
      </c>
      <c r="J36" s="13">
        <f t="shared" si="25"/>
        <v>-1469.83</v>
      </c>
      <c r="K36" s="14">
        <f>50</f>
        <v>50</v>
      </c>
      <c r="L36" s="6">
        <f>395.83</f>
        <v>395.83</v>
      </c>
      <c r="M36" s="13">
        <f t="shared" si="26"/>
        <v>-345.83</v>
      </c>
      <c r="N36" s="11"/>
      <c r="O36" s="6">
        <f>395.83</f>
        <v>395.83</v>
      </c>
      <c r="P36" s="13">
        <f t="shared" si="27"/>
        <v>-395.83</v>
      </c>
      <c r="Q36" s="14">
        <f>100</f>
        <v>100</v>
      </c>
      <c r="R36" s="6">
        <f>395.83</f>
        <v>395.83</v>
      </c>
      <c r="S36" s="13">
        <f t="shared" si="28"/>
        <v>-295.83</v>
      </c>
      <c r="T36" s="14">
        <f>50</f>
        <v>50</v>
      </c>
      <c r="U36" s="6">
        <f>395.83</f>
        <v>395.83</v>
      </c>
      <c r="V36" s="13">
        <f t="shared" si="29"/>
        <v>-345.83</v>
      </c>
      <c r="W36" s="14">
        <f>109.88</f>
        <v>109.88</v>
      </c>
      <c r="X36" s="6">
        <f>395.83</f>
        <v>395.83</v>
      </c>
      <c r="Y36" s="13">
        <f t="shared" si="30"/>
        <v>-285.95</v>
      </c>
      <c r="Z36" s="14">
        <f>157.19</f>
        <v>157.19</v>
      </c>
      <c r="AA36" s="6">
        <f>395.83</f>
        <v>395.83</v>
      </c>
      <c r="AB36" s="13">
        <f t="shared" si="31"/>
        <v>-238.64</v>
      </c>
      <c r="AC36" s="14">
        <f t="shared" si="32"/>
        <v>-381.93</v>
      </c>
      <c r="AD36" s="6">
        <f t="shared" si="33"/>
        <v>3562.47</v>
      </c>
      <c r="AE36" s="13">
        <f t="shared" si="34"/>
        <v>-3944.3999999999996</v>
      </c>
    </row>
    <row r="37" spans="1:31" x14ac:dyDescent="0.25">
      <c r="A37" s="8" t="s">
        <v>43</v>
      </c>
      <c r="B37" s="11"/>
      <c r="C37" s="6">
        <f>62.5</f>
        <v>62.5</v>
      </c>
      <c r="D37" s="13">
        <f t="shared" si="23"/>
        <v>-62.5</v>
      </c>
      <c r="E37" s="11"/>
      <c r="F37" s="6">
        <f>62.5</f>
        <v>62.5</v>
      </c>
      <c r="G37" s="13">
        <f t="shared" si="24"/>
        <v>-62.5</v>
      </c>
      <c r="H37" s="11"/>
      <c r="I37" s="6">
        <f>62.5</f>
        <v>62.5</v>
      </c>
      <c r="J37" s="13">
        <f t="shared" si="25"/>
        <v>-62.5</v>
      </c>
      <c r="K37" s="11"/>
      <c r="L37" s="6">
        <f>62.5</f>
        <v>62.5</v>
      </c>
      <c r="M37" s="13">
        <f t="shared" si="26"/>
        <v>-62.5</v>
      </c>
      <c r="N37" s="11"/>
      <c r="O37" s="6">
        <f>62.5</f>
        <v>62.5</v>
      </c>
      <c r="P37" s="13">
        <f t="shared" si="27"/>
        <v>-62.5</v>
      </c>
      <c r="Q37" s="11"/>
      <c r="R37" s="6">
        <f>62.5</f>
        <v>62.5</v>
      </c>
      <c r="S37" s="13">
        <f t="shared" si="28"/>
        <v>-62.5</v>
      </c>
      <c r="T37" s="11"/>
      <c r="U37" s="6">
        <f>62.5</f>
        <v>62.5</v>
      </c>
      <c r="V37" s="13">
        <f t="shared" si="29"/>
        <v>-62.5</v>
      </c>
      <c r="W37" s="11"/>
      <c r="X37" s="6">
        <f>62.5</f>
        <v>62.5</v>
      </c>
      <c r="Y37" s="13">
        <f t="shared" si="30"/>
        <v>-62.5</v>
      </c>
      <c r="Z37" s="11"/>
      <c r="AA37" s="6">
        <f>62.5</f>
        <v>62.5</v>
      </c>
      <c r="AB37" s="13">
        <f t="shared" si="31"/>
        <v>-62.5</v>
      </c>
      <c r="AC37" s="14">
        <f t="shared" si="32"/>
        <v>0</v>
      </c>
      <c r="AD37" s="6">
        <f t="shared" si="33"/>
        <v>562.5</v>
      </c>
      <c r="AE37" s="13">
        <f t="shared" si="34"/>
        <v>-562.5</v>
      </c>
    </row>
    <row r="38" spans="1:31" x14ac:dyDescent="0.25">
      <c r="A38" s="8" t="s">
        <v>44</v>
      </c>
      <c r="B38" s="11"/>
      <c r="C38" s="6">
        <f>20.83</f>
        <v>20.83</v>
      </c>
      <c r="D38" s="13">
        <f t="shared" si="23"/>
        <v>-20.83</v>
      </c>
      <c r="E38" s="11"/>
      <c r="F38" s="6">
        <f>20.83</f>
        <v>20.83</v>
      </c>
      <c r="G38" s="13">
        <f t="shared" si="24"/>
        <v>-20.83</v>
      </c>
      <c r="H38" s="11"/>
      <c r="I38" s="6">
        <f>20.83</f>
        <v>20.83</v>
      </c>
      <c r="J38" s="13">
        <f t="shared" si="25"/>
        <v>-20.83</v>
      </c>
      <c r="K38" s="11"/>
      <c r="L38" s="6">
        <f>20.83</f>
        <v>20.83</v>
      </c>
      <c r="M38" s="13">
        <f t="shared" si="26"/>
        <v>-20.83</v>
      </c>
      <c r="N38" s="11"/>
      <c r="O38" s="6">
        <f>20.83</f>
        <v>20.83</v>
      </c>
      <c r="P38" s="13">
        <f t="shared" si="27"/>
        <v>-20.83</v>
      </c>
      <c r="Q38" s="11"/>
      <c r="R38" s="6">
        <f>20.83</f>
        <v>20.83</v>
      </c>
      <c r="S38" s="13">
        <f t="shared" si="28"/>
        <v>-20.83</v>
      </c>
      <c r="T38" s="11"/>
      <c r="U38" s="6">
        <f>20.83</f>
        <v>20.83</v>
      </c>
      <c r="V38" s="13">
        <f t="shared" si="29"/>
        <v>-20.83</v>
      </c>
      <c r="W38" s="11"/>
      <c r="X38" s="6">
        <f>20.83</f>
        <v>20.83</v>
      </c>
      <c r="Y38" s="13">
        <f t="shared" si="30"/>
        <v>-20.83</v>
      </c>
      <c r="Z38" s="11"/>
      <c r="AA38" s="6">
        <f>20.83</f>
        <v>20.83</v>
      </c>
      <c r="AB38" s="13">
        <f t="shared" si="31"/>
        <v>-20.83</v>
      </c>
      <c r="AC38" s="14">
        <f t="shared" si="32"/>
        <v>0</v>
      </c>
      <c r="AD38" s="6">
        <f t="shared" si="33"/>
        <v>187.46999999999997</v>
      </c>
      <c r="AE38" s="13">
        <f t="shared" si="34"/>
        <v>-187.46999999999997</v>
      </c>
    </row>
    <row r="39" spans="1:31" x14ac:dyDescent="0.25">
      <c r="A39" s="8" t="s">
        <v>45</v>
      </c>
      <c r="B39" s="14">
        <f>3076.92</f>
        <v>3076.92</v>
      </c>
      <c r="C39" s="6">
        <f>3333.33</f>
        <v>3333.33</v>
      </c>
      <c r="D39" s="13">
        <f t="shared" si="23"/>
        <v>-256.40999999999985</v>
      </c>
      <c r="E39" s="14">
        <f>4615.38</f>
        <v>4615.38</v>
      </c>
      <c r="F39" s="6">
        <f>3333.33</f>
        <v>3333.33</v>
      </c>
      <c r="G39" s="13">
        <f t="shared" si="24"/>
        <v>1282.0500000000002</v>
      </c>
      <c r="H39" s="14">
        <f>3326.92</f>
        <v>3326.92</v>
      </c>
      <c r="I39" s="6">
        <f>3333.33</f>
        <v>3333.33</v>
      </c>
      <c r="J39" s="13">
        <f t="shared" si="25"/>
        <v>-6.4099999999998545</v>
      </c>
      <c r="K39" s="14">
        <f>3076.92</f>
        <v>3076.92</v>
      </c>
      <c r="L39" s="6">
        <f>3333.33</f>
        <v>3333.33</v>
      </c>
      <c r="M39" s="13">
        <f t="shared" si="26"/>
        <v>-256.40999999999985</v>
      </c>
      <c r="N39" s="14">
        <f>3076.92</f>
        <v>3076.92</v>
      </c>
      <c r="O39" s="6">
        <f>3333.33</f>
        <v>3333.33</v>
      </c>
      <c r="P39" s="13">
        <f t="shared" si="27"/>
        <v>-256.40999999999985</v>
      </c>
      <c r="Q39" s="14">
        <f>3076.92</f>
        <v>3076.92</v>
      </c>
      <c r="R39" s="6">
        <f>3333.33</f>
        <v>3333.33</v>
      </c>
      <c r="S39" s="13">
        <f t="shared" si="28"/>
        <v>-256.40999999999985</v>
      </c>
      <c r="T39" s="14">
        <f>3076.92</f>
        <v>3076.92</v>
      </c>
      <c r="U39" s="6">
        <f>3333.33</f>
        <v>3333.33</v>
      </c>
      <c r="V39" s="13">
        <f t="shared" si="29"/>
        <v>-256.40999999999985</v>
      </c>
      <c r="W39" s="14">
        <f>4615.38</f>
        <v>4615.38</v>
      </c>
      <c r="X39" s="6">
        <f>3333.33</f>
        <v>3333.33</v>
      </c>
      <c r="Y39" s="13">
        <f t="shared" si="30"/>
        <v>1282.0500000000002</v>
      </c>
      <c r="Z39" s="14">
        <f>3076.92</f>
        <v>3076.92</v>
      </c>
      <c r="AA39" s="6">
        <f>3333.34</f>
        <v>3333.34</v>
      </c>
      <c r="AB39" s="13">
        <f t="shared" si="31"/>
        <v>-256.42000000000007</v>
      </c>
      <c r="AC39" s="14">
        <f t="shared" si="32"/>
        <v>31019.200000000004</v>
      </c>
      <c r="AD39" s="6">
        <f t="shared" si="33"/>
        <v>29999.980000000007</v>
      </c>
      <c r="AE39" s="13">
        <f t="shared" si="34"/>
        <v>1019.2199999999975</v>
      </c>
    </row>
    <row r="40" spans="1:31" x14ac:dyDescent="0.25">
      <c r="A40" s="8" t="s">
        <v>46</v>
      </c>
      <c r="B40" s="14">
        <f>1602.25</f>
        <v>1602.25</v>
      </c>
      <c r="C40" s="6">
        <f>1105</f>
        <v>1105</v>
      </c>
      <c r="D40" s="13">
        <f t="shared" si="23"/>
        <v>497.25</v>
      </c>
      <c r="E40" s="14">
        <f>1198.5</f>
        <v>1198.5</v>
      </c>
      <c r="F40" s="6">
        <f>1105</f>
        <v>1105</v>
      </c>
      <c r="G40" s="13">
        <f t="shared" si="24"/>
        <v>93.5</v>
      </c>
      <c r="H40" s="14">
        <f>1261.5</f>
        <v>1261.5</v>
      </c>
      <c r="I40" s="6">
        <f>1105</f>
        <v>1105</v>
      </c>
      <c r="J40" s="13">
        <f t="shared" si="25"/>
        <v>156.5</v>
      </c>
      <c r="K40" s="14">
        <f>735.25</f>
        <v>735.25</v>
      </c>
      <c r="L40" s="6">
        <f>1105</f>
        <v>1105</v>
      </c>
      <c r="M40" s="13">
        <f t="shared" si="26"/>
        <v>-369.75</v>
      </c>
      <c r="N40" s="14">
        <f>943.5</f>
        <v>943.5</v>
      </c>
      <c r="O40" s="6">
        <f>1105</f>
        <v>1105</v>
      </c>
      <c r="P40" s="13">
        <f t="shared" si="27"/>
        <v>-161.5</v>
      </c>
      <c r="Q40" s="14">
        <f>752.25</f>
        <v>752.25</v>
      </c>
      <c r="R40" s="6">
        <f>1105</f>
        <v>1105</v>
      </c>
      <c r="S40" s="13">
        <f t="shared" si="28"/>
        <v>-352.75</v>
      </c>
      <c r="T40" s="14">
        <f>1190</f>
        <v>1190</v>
      </c>
      <c r="U40" s="6">
        <f>1105</f>
        <v>1105</v>
      </c>
      <c r="V40" s="13">
        <f t="shared" si="29"/>
        <v>85</v>
      </c>
      <c r="W40" s="14">
        <f>952</f>
        <v>952</v>
      </c>
      <c r="X40" s="6">
        <f>1105</f>
        <v>1105</v>
      </c>
      <c r="Y40" s="13">
        <f t="shared" si="30"/>
        <v>-153</v>
      </c>
      <c r="Z40" s="14">
        <f>1088</f>
        <v>1088</v>
      </c>
      <c r="AA40" s="6">
        <f>1105</f>
        <v>1105</v>
      </c>
      <c r="AB40" s="13">
        <f t="shared" si="31"/>
        <v>-17</v>
      </c>
      <c r="AC40" s="14">
        <f t="shared" si="32"/>
        <v>9723.25</v>
      </c>
      <c r="AD40" s="6">
        <f t="shared" si="33"/>
        <v>9945</v>
      </c>
      <c r="AE40" s="13">
        <f t="shared" si="34"/>
        <v>-221.75</v>
      </c>
    </row>
    <row r="41" spans="1:31" x14ac:dyDescent="0.25">
      <c r="A41" s="8" t="s">
        <v>47</v>
      </c>
      <c r="B41" s="14">
        <f>679.67</f>
        <v>679.67</v>
      </c>
      <c r="C41" s="6">
        <f>255</f>
        <v>255</v>
      </c>
      <c r="D41" s="13">
        <f t="shared" si="23"/>
        <v>424.66999999999996</v>
      </c>
      <c r="E41" s="11"/>
      <c r="F41" s="6">
        <f>255</f>
        <v>255</v>
      </c>
      <c r="G41" s="13">
        <f t="shared" si="24"/>
        <v>-255</v>
      </c>
      <c r="H41" s="11"/>
      <c r="I41" s="6">
        <f>255</f>
        <v>255</v>
      </c>
      <c r="J41" s="13">
        <f t="shared" si="25"/>
        <v>-255</v>
      </c>
      <c r="K41" s="14">
        <f>842.97</f>
        <v>842.97</v>
      </c>
      <c r="L41" s="6">
        <f>255</f>
        <v>255</v>
      </c>
      <c r="M41" s="13">
        <f t="shared" si="26"/>
        <v>587.97</v>
      </c>
      <c r="N41" s="11"/>
      <c r="O41" s="6">
        <f>255</f>
        <v>255</v>
      </c>
      <c r="P41" s="13">
        <f t="shared" si="27"/>
        <v>-255</v>
      </c>
      <c r="Q41" s="11"/>
      <c r="R41" s="6">
        <f>255</f>
        <v>255</v>
      </c>
      <c r="S41" s="13">
        <f t="shared" si="28"/>
        <v>-255</v>
      </c>
      <c r="T41" s="14">
        <f>706.16</f>
        <v>706.16</v>
      </c>
      <c r="U41" s="6">
        <f>255</f>
        <v>255</v>
      </c>
      <c r="V41" s="13">
        <f t="shared" si="29"/>
        <v>451.15999999999997</v>
      </c>
      <c r="W41" s="11"/>
      <c r="X41" s="6">
        <f>255</f>
        <v>255</v>
      </c>
      <c r="Y41" s="13">
        <f t="shared" si="30"/>
        <v>-255</v>
      </c>
      <c r="Z41" s="11"/>
      <c r="AA41" s="6">
        <f>255</f>
        <v>255</v>
      </c>
      <c r="AB41" s="13">
        <f t="shared" si="31"/>
        <v>-255</v>
      </c>
      <c r="AC41" s="14">
        <f t="shared" si="32"/>
        <v>2228.7999999999997</v>
      </c>
      <c r="AD41" s="6">
        <f t="shared" si="33"/>
        <v>2295</v>
      </c>
      <c r="AE41" s="13">
        <f t="shared" si="34"/>
        <v>-66.200000000000273</v>
      </c>
    </row>
    <row r="42" spans="1:31" x14ac:dyDescent="0.25">
      <c r="A42" s="8" t="s">
        <v>48</v>
      </c>
      <c r="B42" s="11"/>
      <c r="C42" s="6">
        <f>100</f>
        <v>100</v>
      </c>
      <c r="D42" s="13">
        <f t="shared" si="23"/>
        <v>-100</v>
      </c>
      <c r="E42" s="11"/>
      <c r="F42" s="6">
        <f>100</f>
        <v>100</v>
      </c>
      <c r="G42" s="13">
        <f t="shared" si="24"/>
        <v>-100</v>
      </c>
      <c r="H42" s="14">
        <f>87.81</f>
        <v>87.81</v>
      </c>
      <c r="I42" s="6">
        <f>100</f>
        <v>100</v>
      </c>
      <c r="J42" s="13">
        <f t="shared" si="25"/>
        <v>-12.189999999999998</v>
      </c>
      <c r="K42" s="11"/>
      <c r="L42" s="6">
        <f>100</f>
        <v>100</v>
      </c>
      <c r="M42" s="13">
        <f t="shared" si="26"/>
        <v>-100</v>
      </c>
      <c r="N42" s="14">
        <f>200.21</f>
        <v>200.21</v>
      </c>
      <c r="O42" s="6">
        <f>100</f>
        <v>100</v>
      </c>
      <c r="P42" s="13">
        <f t="shared" si="27"/>
        <v>100.21000000000001</v>
      </c>
      <c r="Q42" s="11"/>
      <c r="R42" s="6">
        <f>100</f>
        <v>100</v>
      </c>
      <c r="S42" s="13">
        <f t="shared" si="28"/>
        <v>-100</v>
      </c>
      <c r="T42" s="11"/>
      <c r="U42" s="6">
        <f>100</f>
        <v>100</v>
      </c>
      <c r="V42" s="13">
        <f t="shared" si="29"/>
        <v>-100</v>
      </c>
      <c r="W42" s="11"/>
      <c r="X42" s="6">
        <f>100</f>
        <v>100</v>
      </c>
      <c r="Y42" s="13">
        <f t="shared" si="30"/>
        <v>-100</v>
      </c>
      <c r="Z42" s="11"/>
      <c r="AA42" s="6">
        <f>100</f>
        <v>100</v>
      </c>
      <c r="AB42" s="13">
        <f t="shared" si="31"/>
        <v>-100</v>
      </c>
      <c r="AC42" s="14">
        <f t="shared" si="32"/>
        <v>288.02</v>
      </c>
      <c r="AD42" s="6">
        <f t="shared" si="33"/>
        <v>900</v>
      </c>
      <c r="AE42" s="13">
        <f t="shared" si="34"/>
        <v>-611.98</v>
      </c>
    </row>
    <row r="43" spans="1:31" x14ac:dyDescent="0.25">
      <c r="A43" s="8" t="s">
        <v>49</v>
      </c>
      <c r="B43" s="14">
        <f>274.3</f>
        <v>274.3</v>
      </c>
      <c r="C43" s="6">
        <f>208.33</f>
        <v>208.33</v>
      </c>
      <c r="D43" s="13">
        <f t="shared" si="23"/>
        <v>65.97</v>
      </c>
      <c r="E43" s="14">
        <f>230.67</f>
        <v>230.67</v>
      </c>
      <c r="F43" s="6">
        <f>208.33</f>
        <v>208.33</v>
      </c>
      <c r="G43" s="13">
        <f t="shared" si="24"/>
        <v>22.339999999999975</v>
      </c>
      <c r="H43" s="14">
        <f>110.89</f>
        <v>110.89</v>
      </c>
      <c r="I43" s="6">
        <f>208.33</f>
        <v>208.33</v>
      </c>
      <c r="J43" s="13">
        <f t="shared" si="25"/>
        <v>-97.440000000000012</v>
      </c>
      <c r="K43" s="11"/>
      <c r="L43" s="6">
        <f>208.33</f>
        <v>208.33</v>
      </c>
      <c r="M43" s="13">
        <f t="shared" si="26"/>
        <v>-208.33</v>
      </c>
      <c r="N43" s="14">
        <f>247.84</f>
        <v>247.84</v>
      </c>
      <c r="O43" s="6">
        <f>208.33</f>
        <v>208.33</v>
      </c>
      <c r="P43" s="13">
        <f t="shared" si="27"/>
        <v>39.509999999999991</v>
      </c>
      <c r="Q43" s="14">
        <f>29.74</f>
        <v>29.74</v>
      </c>
      <c r="R43" s="6">
        <f>208.33</f>
        <v>208.33</v>
      </c>
      <c r="S43" s="13">
        <f t="shared" si="28"/>
        <v>-178.59</v>
      </c>
      <c r="T43" s="11"/>
      <c r="U43" s="6">
        <f>208.33</f>
        <v>208.33</v>
      </c>
      <c r="V43" s="13">
        <f t="shared" si="29"/>
        <v>-208.33</v>
      </c>
      <c r="W43" s="14">
        <f>288.26</f>
        <v>288.26</v>
      </c>
      <c r="X43" s="6">
        <f>208.33</f>
        <v>208.33</v>
      </c>
      <c r="Y43" s="13">
        <f t="shared" si="30"/>
        <v>79.929999999999978</v>
      </c>
      <c r="Z43" s="14">
        <f>444.44</f>
        <v>444.44</v>
      </c>
      <c r="AA43" s="6">
        <f>208.34</f>
        <v>208.34</v>
      </c>
      <c r="AB43" s="13">
        <f t="shared" si="31"/>
        <v>236.1</v>
      </c>
      <c r="AC43" s="14">
        <f t="shared" si="32"/>
        <v>1626.14</v>
      </c>
      <c r="AD43" s="6">
        <f t="shared" si="33"/>
        <v>1874.9799999999998</v>
      </c>
      <c r="AE43" s="13">
        <f t="shared" si="34"/>
        <v>-248.83999999999969</v>
      </c>
    </row>
    <row r="44" spans="1:31" x14ac:dyDescent="0.25">
      <c r="A44" s="8" t="s">
        <v>50</v>
      </c>
      <c r="B44" s="14">
        <f>8.14</f>
        <v>8.14</v>
      </c>
      <c r="C44" s="6">
        <f>20.83</f>
        <v>20.83</v>
      </c>
      <c r="D44" s="13">
        <f t="shared" si="23"/>
        <v>-12.689999999999998</v>
      </c>
      <c r="E44" s="11"/>
      <c r="F44" s="6">
        <f>20.83</f>
        <v>20.83</v>
      </c>
      <c r="G44" s="13">
        <f t="shared" si="24"/>
        <v>-20.83</v>
      </c>
      <c r="H44" s="14">
        <f>100</f>
        <v>100</v>
      </c>
      <c r="I44" s="6">
        <f>20.83</f>
        <v>20.83</v>
      </c>
      <c r="J44" s="13">
        <f t="shared" si="25"/>
        <v>79.17</v>
      </c>
      <c r="K44" s="14">
        <f>31.76</f>
        <v>31.76</v>
      </c>
      <c r="L44" s="6">
        <f>20.83</f>
        <v>20.83</v>
      </c>
      <c r="M44" s="13">
        <f t="shared" si="26"/>
        <v>10.930000000000003</v>
      </c>
      <c r="N44" s="11"/>
      <c r="O44" s="6">
        <f>20.83</f>
        <v>20.83</v>
      </c>
      <c r="P44" s="13">
        <f t="shared" si="27"/>
        <v>-20.83</v>
      </c>
      <c r="Q44" s="11"/>
      <c r="R44" s="6">
        <f>20.83</f>
        <v>20.83</v>
      </c>
      <c r="S44" s="13">
        <f t="shared" si="28"/>
        <v>-20.83</v>
      </c>
      <c r="T44" s="14">
        <f>8.35</f>
        <v>8.35</v>
      </c>
      <c r="U44" s="6">
        <f>20.83</f>
        <v>20.83</v>
      </c>
      <c r="V44" s="13">
        <f t="shared" si="29"/>
        <v>-12.479999999999999</v>
      </c>
      <c r="W44" s="14">
        <f>68</f>
        <v>68</v>
      </c>
      <c r="X44" s="6">
        <f>20.83</f>
        <v>20.83</v>
      </c>
      <c r="Y44" s="13">
        <f t="shared" si="30"/>
        <v>47.17</v>
      </c>
      <c r="Z44" s="11"/>
      <c r="AA44" s="6">
        <f>20.84</f>
        <v>20.84</v>
      </c>
      <c r="AB44" s="13">
        <f t="shared" si="31"/>
        <v>-20.84</v>
      </c>
      <c r="AC44" s="14">
        <f t="shared" si="32"/>
        <v>216.25</v>
      </c>
      <c r="AD44" s="6">
        <f t="shared" si="33"/>
        <v>187.48</v>
      </c>
      <c r="AE44" s="13">
        <f t="shared" si="34"/>
        <v>28.77000000000001</v>
      </c>
    </row>
    <row r="45" spans="1:31" x14ac:dyDescent="0.25">
      <c r="A45" s="8" t="s">
        <v>51</v>
      </c>
      <c r="B45" s="11"/>
      <c r="C45" s="6">
        <f>41.67</f>
        <v>41.67</v>
      </c>
      <c r="D45" s="13">
        <f t="shared" si="23"/>
        <v>-41.67</v>
      </c>
      <c r="E45" s="14">
        <f>44.37</f>
        <v>44.37</v>
      </c>
      <c r="F45" s="6">
        <f>41.67</f>
        <v>41.67</v>
      </c>
      <c r="G45" s="13">
        <f t="shared" si="24"/>
        <v>2.6999999999999957</v>
      </c>
      <c r="H45" s="11"/>
      <c r="I45" s="6">
        <f>41.67</f>
        <v>41.67</v>
      </c>
      <c r="J45" s="13">
        <f t="shared" si="25"/>
        <v>-41.67</v>
      </c>
      <c r="K45" s="11"/>
      <c r="L45" s="6">
        <f>41.67</f>
        <v>41.67</v>
      </c>
      <c r="M45" s="13">
        <f t="shared" si="26"/>
        <v>-41.67</v>
      </c>
      <c r="N45" s="11"/>
      <c r="O45" s="6">
        <f>41.67</f>
        <v>41.67</v>
      </c>
      <c r="P45" s="13">
        <f t="shared" si="27"/>
        <v>-41.67</v>
      </c>
      <c r="Q45" s="11"/>
      <c r="R45" s="6">
        <f>41.67</f>
        <v>41.67</v>
      </c>
      <c r="S45" s="13">
        <f t="shared" si="28"/>
        <v>-41.67</v>
      </c>
      <c r="T45" s="11"/>
      <c r="U45" s="6">
        <f>41.67</f>
        <v>41.67</v>
      </c>
      <c r="V45" s="13">
        <f t="shared" si="29"/>
        <v>-41.67</v>
      </c>
      <c r="W45" s="14">
        <f>34.88</f>
        <v>34.880000000000003</v>
      </c>
      <c r="X45" s="6">
        <f>41.67</f>
        <v>41.67</v>
      </c>
      <c r="Y45" s="13">
        <f t="shared" si="30"/>
        <v>-6.7899999999999991</v>
      </c>
      <c r="Z45" s="14">
        <f>81.77</f>
        <v>81.77</v>
      </c>
      <c r="AA45" s="6">
        <f>41.66</f>
        <v>41.66</v>
      </c>
      <c r="AB45" s="13">
        <f t="shared" si="31"/>
        <v>40.11</v>
      </c>
      <c r="AC45" s="14">
        <f t="shared" si="32"/>
        <v>161.01999999999998</v>
      </c>
      <c r="AD45" s="6">
        <f t="shared" si="33"/>
        <v>375.0200000000001</v>
      </c>
      <c r="AE45" s="13">
        <f t="shared" si="34"/>
        <v>-214.00000000000011</v>
      </c>
    </row>
    <row r="46" spans="1:31" x14ac:dyDescent="0.25">
      <c r="A46" s="8" t="s">
        <v>52</v>
      </c>
      <c r="B46" s="11"/>
      <c r="C46" s="5"/>
      <c r="D46" s="13">
        <f t="shared" si="23"/>
        <v>0</v>
      </c>
      <c r="E46" s="11"/>
      <c r="F46" s="5"/>
      <c r="G46" s="13">
        <f t="shared" si="24"/>
        <v>0</v>
      </c>
      <c r="H46" s="11"/>
      <c r="I46" s="5"/>
      <c r="J46" s="13">
        <f t="shared" si="25"/>
        <v>0</v>
      </c>
      <c r="K46" s="11"/>
      <c r="L46" s="5"/>
      <c r="M46" s="13">
        <f t="shared" si="26"/>
        <v>0</v>
      </c>
      <c r="N46" s="11"/>
      <c r="O46" s="5"/>
      <c r="P46" s="13">
        <f t="shared" si="27"/>
        <v>0</v>
      </c>
      <c r="Q46" s="11"/>
      <c r="R46" s="5"/>
      <c r="S46" s="13">
        <f t="shared" si="28"/>
        <v>0</v>
      </c>
      <c r="T46" s="11"/>
      <c r="U46" s="5"/>
      <c r="V46" s="13">
        <f t="shared" si="29"/>
        <v>0</v>
      </c>
      <c r="W46" s="11"/>
      <c r="X46" s="5"/>
      <c r="Y46" s="13">
        <f t="shared" si="30"/>
        <v>0</v>
      </c>
      <c r="Z46" s="11"/>
      <c r="AA46" s="5"/>
      <c r="AB46" s="13">
        <f t="shared" si="31"/>
        <v>0</v>
      </c>
      <c r="AC46" s="14">
        <f t="shared" si="32"/>
        <v>0</v>
      </c>
      <c r="AD46" s="6">
        <f t="shared" si="33"/>
        <v>0</v>
      </c>
      <c r="AE46" s="13">
        <f t="shared" si="34"/>
        <v>0</v>
      </c>
    </row>
    <row r="47" spans="1:31" x14ac:dyDescent="0.25">
      <c r="A47" s="8" t="s">
        <v>53</v>
      </c>
      <c r="B47" s="11"/>
      <c r="C47" s="6">
        <f>125</f>
        <v>125</v>
      </c>
      <c r="D47" s="13">
        <f t="shared" si="23"/>
        <v>-125</v>
      </c>
      <c r="E47" s="11"/>
      <c r="F47" s="6">
        <f>125</f>
        <v>125</v>
      </c>
      <c r="G47" s="13">
        <f t="shared" si="24"/>
        <v>-125</v>
      </c>
      <c r="H47" s="11"/>
      <c r="I47" s="6">
        <f>125</f>
        <v>125</v>
      </c>
      <c r="J47" s="13">
        <f t="shared" si="25"/>
        <v>-125</v>
      </c>
      <c r="K47" s="11"/>
      <c r="L47" s="6">
        <f>125</f>
        <v>125</v>
      </c>
      <c r="M47" s="13">
        <f t="shared" si="26"/>
        <v>-125</v>
      </c>
      <c r="N47" s="11"/>
      <c r="O47" s="6">
        <f>125</f>
        <v>125</v>
      </c>
      <c r="P47" s="13">
        <f t="shared" si="27"/>
        <v>-125</v>
      </c>
      <c r="Q47" s="14">
        <f>385</f>
        <v>385</v>
      </c>
      <c r="R47" s="6">
        <f>125</f>
        <v>125</v>
      </c>
      <c r="S47" s="13">
        <f t="shared" si="28"/>
        <v>260</v>
      </c>
      <c r="T47" s="11"/>
      <c r="U47" s="6">
        <f>125</f>
        <v>125</v>
      </c>
      <c r="V47" s="13">
        <f t="shared" si="29"/>
        <v>-125</v>
      </c>
      <c r="W47" s="14">
        <f>990</f>
        <v>990</v>
      </c>
      <c r="X47" s="6">
        <f>125</f>
        <v>125</v>
      </c>
      <c r="Y47" s="13">
        <f t="shared" si="30"/>
        <v>865</v>
      </c>
      <c r="Z47" s="11"/>
      <c r="AA47" s="6">
        <f>125</f>
        <v>125</v>
      </c>
      <c r="AB47" s="13">
        <f t="shared" si="31"/>
        <v>-125</v>
      </c>
      <c r="AC47" s="14">
        <f t="shared" si="32"/>
        <v>1375</v>
      </c>
      <c r="AD47" s="6">
        <f t="shared" si="33"/>
        <v>1125</v>
      </c>
      <c r="AE47" s="13">
        <f t="shared" si="34"/>
        <v>250</v>
      </c>
    </row>
    <row r="48" spans="1:31" x14ac:dyDescent="0.25">
      <c r="A48" s="8" t="s">
        <v>54</v>
      </c>
      <c r="B48" s="15">
        <f>(B46)+(B47)</f>
        <v>0</v>
      </c>
      <c r="C48" s="7">
        <f>(C46)+(C47)</f>
        <v>125</v>
      </c>
      <c r="D48" s="16">
        <f t="shared" si="23"/>
        <v>-125</v>
      </c>
      <c r="E48" s="15">
        <f>(E46)+(E47)</f>
        <v>0</v>
      </c>
      <c r="F48" s="7">
        <f>(F46)+(F47)</f>
        <v>125</v>
      </c>
      <c r="G48" s="16">
        <f t="shared" si="24"/>
        <v>-125</v>
      </c>
      <c r="H48" s="15">
        <f>(H46)+(H47)</f>
        <v>0</v>
      </c>
      <c r="I48" s="7">
        <f>(I46)+(I47)</f>
        <v>125</v>
      </c>
      <c r="J48" s="16">
        <f t="shared" si="25"/>
        <v>-125</v>
      </c>
      <c r="K48" s="15">
        <f>(K46)+(K47)</f>
        <v>0</v>
      </c>
      <c r="L48" s="7">
        <f>(L46)+(L47)</f>
        <v>125</v>
      </c>
      <c r="M48" s="16">
        <f t="shared" si="26"/>
        <v>-125</v>
      </c>
      <c r="N48" s="15">
        <f>(N46)+(N47)</f>
        <v>0</v>
      </c>
      <c r="O48" s="7">
        <f>(O46)+(O47)</f>
        <v>125</v>
      </c>
      <c r="P48" s="16">
        <f t="shared" si="27"/>
        <v>-125</v>
      </c>
      <c r="Q48" s="15">
        <f>(Q46)+(Q47)</f>
        <v>385</v>
      </c>
      <c r="R48" s="7">
        <f>(R46)+(R47)</f>
        <v>125</v>
      </c>
      <c r="S48" s="16">
        <f t="shared" si="28"/>
        <v>260</v>
      </c>
      <c r="T48" s="15">
        <f>(T46)+(T47)</f>
        <v>0</v>
      </c>
      <c r="U48" s="7">
        <f>(U46)+(U47)</f>
        <v>125</v>
      </c>
      <c r="V48" s="16">
        <f t="shared" si="29"/>
        <v>-125</v>
      </c>
      <c r="W48" s="15">
        <f>(W46)+(W47)</f>
        <v>990</v>
      </c>
      <c r="X48" s="7">
        <f>(X46)+(X47)</f>
        <v>125</v>
      </c>
      <c r="Y48" s="16">
        <f t="shared" si="30"/>
        <v>865</v>
      </c>
      <c r="Z48" s="15">
        <f>(Z46)+(Z47)</f>
        <v>0</v>
      </c>
      <c r="AA48" s="7">
        <f>(AA46)+(AA47)</f>
        <v>125</v>
      </c>
      <c r="AB48" s="16">
        <f t="shared" si="31"/>
        <v>-125</v>
      </c>
      <c r="AC48" s="15">
        <f t="shared" si="32"/>
        <v>1375</v>
      </c>
      <c r="AD48" s="7">
        <f t="shared" si="33"/>
        <v>1125</v>
      </c>
      <c r="AE48" s="16">
        <f t="shared" si="34"/>
        <v>250</v>
      </c>
    </row>
    <row r="49" spans="1:31" x14ac:dyDescent="0.25">
      <c r="A49" s="8" t="s">
        <v>55</v>
      </c>
      <c r="B49" s="11"/>
      <c r="C49" s="6">
        <f>266.67</f>
        <v>266.67</v>
      </c>
      <c r="D49" s="13">
        <f t="shared" si="23"/>
        <v>-266.67</v>
      </c>
      <c r="E49" s="11"/>
      <c r="F49" s="6">
        <f>266.67</f>
        <v>266.67</v>
      </c>
      <c r="G49" s="13">
        <f t="shared" si="24"/>
        <v>-266.67</v>
      </c>
      <c r="H49" s="11"/>
      <c r="I49" s="6">
        <f>266.67</f>
        <v>266.67</v>
      </c>
      <c r="J49" s="13">
        <f t="shared" si="25"/>
        <v>-266.67</v>
      </c>
      <c r="K49" s="11"/>
      <c r="L49" s="6">
        <f>266.67</f>
        <v>266.67</v>
      </c>
      <c r="M49" s="13">
        <f t="shared" si="26"/>
        <v>-266.67</v>
      </c>
      <c r="N49" s="11"/>
      <c r="O49" s="6">
        <f>266.67</f>
        <v>266.67</v>
      </c>
      <c r="P49" s="13">
        <f t="shared" si="27"/>
        <v>-266.67</v>
      </c>
      <c r="Q49" s="11"/>
      <c r="R49" s="6">
        <f>266.67</f>
        <v>266.67</v>
      </c>
      <c r="S49" s="13">
        <f t="shared" si="28"/>
        <v>-266.67</v>
      </c>
      <c r="T49" s="11"/>
      <c r="U49" s="6">
        <f>266.67</f>
        <v>266.67</v>
      </c>
      <c r="V49" s="13">
        <f t="shared" si="29"/>
        <v>-266.67</v>
      </c>
      <c r="W49" s="11"/>
      <c r="X49" s="6">
        <f>266.67</f>
        <v>266.67</v>
      </c>
      <c r="Y49" s="13">
        <f t="shared" si="30"/>
        <v>-266.67</v>
      </c>
      <c r="Z49" s="11"/>
      <c r="AA49" s="6">
        <f>266.67</f>
        <v>266.67</v>
      </c>
      <c r="AB49" s="13">
        <f t="shared" si="31"/>
        <v>-266.67</v>
      </c>
      <c r="AC49" s="14">
        <f t="shared" si="32"/>
        <v>0</v>
      </c>
      <c r="AD49" s="6">
        <f t="shared" si="33"/>
        <v>2400.0300000000002</v>
      </c>
      <c r="AE49" s="13">
        <f t="shared" si="34"/>
        <v>-2400.0300000000002</v>
      </c>
    </row>
    <row r="50" spans="1:31" x14ac:dyDescent="0.25">
      <c r="A50" s="8" t="s">
        <v>56</v>
      </c>
      <c r="B50" s="14">
        <f>2966.32</f>
        <v>2966.32</v>
      </c>
      <c r="C50" s="6">
        <f>2968</f>
        <v>2968</v>
      </c>
      <c r="D50" s="13">
        <f t="shared" si="23"/>
        <v>-1.6799999999998363</v>
      </c>
      <c r="E50" s="14">
        <f>2966.32</f>
        <v>2966.32</v>
      </c>
      <c r="F50" s="6">
        <f>2968</f>
        <v>2968</v>
      </c>
      <c r="G50" s="13">
        <f t="shared" si="24"/>
        <v>-1.6799999999998363</v>
      </c>
      <c r="H50" s="14">
        <f>2966.32</f>
        <v>2966.32</v>
      </c>
      <c r="I50" s="6">
        <f>2968</f>
        <v>2968</v>
      </c>
      <c r="J50" s="13">
        <f t="shared" si="25"/>
        <v>-1.6799999999998363</v>
      </c>
      <c r="K50" s="14">
        <f>2966.32</f>
        <v>2966.32</v>
      </c>
      <c r="L50" s="6">
        <f>2968</f>
        <v>2968</v>
      </c>
      <c r="M50" s="13">
        <f t="shared" si="26"/>
        <v>-1.6799999999998363</v>
      </c>
      <c r="N50" s="14">
        <f>2966.32</f>
        <v>2966.32</v>
      </c>
      <c r="O50" s="6">
        <f>2968</f>
        <v>2968</v>
      </c>
      <c r="P50" s="13">
        <f t="shared" si="27"/>
        <v>-1.6799999999998363</v>
      </c>
      <c r="Q50" s="14">
        <f>2966.32</f>
        <v>2966.32</v>
      </c>
      <c r="R50" s="6">
        <f>2968</f>
        <v>2968</v>
      </c>
      <c r="S50" s="13">
        <f t="shared" si="28"/>
        <v>-1.6799999999998363</v>
      </c>
      <c r="T50" s="14">
        <f>2966.32</f>
        <v>2966.32</v>
      </c>
      <c r="U50" s="6">
        <f>2968</f>
        <v>2968</v>
      </c>
      <c r="V50" s="13">
        <f t="shared" si="29"/>
        <v>-1.6799999999998363</v>
      </c>
      <c r="W50" s="14">
        <f>2966.32</f>
        <v>2966.32</v>
      </c>
      <c r="X50" s="6">
        <f>2968</f>
        <v>2968</v>
      </c>
      <c r="Y50" s="13">
        <f t="shared" si="30"/>
        <v>-1.6799999999998363</v>
      </c>
      <c r="Z50" s="14">
        <f>2966.32</f>
        <v>2966.32</v>
      </c>
      <c r="AA50" s="6">
        <f>2968</f>
        <v>2968</v>
      </c>
      <c r="AB50" s="13">
        <f t="shared" si="31"/>
        <v>-1.6799999999998363</v>
      </c>
      <c r="AC50" s="14">
        <f t="shared" si="32"/>
        <v>26696.880000000001</v>
      </c>
      <c r="AD50" s="6">
        <f t="shared" si="33"/>
        <v>26712</v>
      </c>
      <c r="AE50" s="13">
        <f t="shared" si="34"/>
        <v>-15.119999999998981</v>
      </c>
    </row>
    <row r="51" spans="1:31" x14ac:dyDescent="0.25">
      <c r="A51" s="8" t="s">
        <v>57</v>
      </c>
      <c r="B51" s="11"/>
      <c r="C51" s="6">
        <f>66.67</f>
        <v>66.67</v>
      </c>
      <c r="D51" s="13">
        <f t="shared" si="23"/>
        <v>-66.67</v>
      </c>
      <c r="E51" s="11"/>
      <c r="F51" s="6">
        <f>66.67</f>
        <v>66.67</v>
      </c>
      <c r="G51" s="13">
        <f t="shared" si="24"/>
        <v>-66.67</v>
      </c>
      <c r="H51" s="11"/>
      <c r="I51" s="6">
        <f>66.67</f>
        <v>66.67</v>
      </c>
      <c r="J51" s="13">
        <f t="shared" si="25"/>
        <v>-66.67</v>
      </c>
      <c r="K51" s="11"/>
      <c r="L51" s="6">
        <f>66.67</f>
        <v>66.67</v>
      </c>
      <c r="M51" s="13">
        <f t="shared" si="26"/>
        <v>-66.67</v>
      </c>
      <c r="N51" s="11"/>
      <c r="O51" s="6">
        <f>66.67</f>
        <v>66.67</v>
      </c>
      <c r="P51" s="13">
        <f t="shared" si="27"/>
        <v>-66.67</v>
      </c>
      <c r="Q51" s="11"/>
      <c r="R51" s="6">
        <f>66.67</f>
        <v>66.67</v>
      </c>
      <c r="S51" s="13">
        <f t="shared" si="28"/>
        <v>-66.67</v>
      </c>
      <c r="T51" s="11"/>
      <c r="U51" s="6">
        <f>66.67</f>
        <v>66.67</v>
      </c>
      <c r="V51" s="13">
        <f t="shared" si="29"/>
        <v>-66.67</v>
      </c>
      <c r="W51" s="14">
        <f>757.5</f>
        <v>757.5</v>
      </c>
      <c r="X51" s="6">
        <f>66.67</f>
        <v>66.67</v>
      </c>
      <c r="Y51" s="13">
        <f t="shared" si="30"/>
        <v>690.83</v>
      </c>
      <c r="Z51" s="11"/>
      <c r="AA51" s="6">
        <f>66.67</f>
        <v>66.67</v>
      </c>
      <c r="AB51" s="13">
        <f t="shared" si="31"/>
        <v>-66.67</v>
      </c>
      <c r="AC51" s="14">
        <f t="shared" si="32"/>
        <v>757.5</v>
      </c>
      <c r="AD51" s="6">
        <f t="shared" si="33"/>
        <v>600.03</v>
      </c>
      <c r="AE51" s="13">
        <f t="shared" si="34"/>
        <v>157.47000000000003</v>
      </c>
    </row>
    <row r="52" spans="1:31" x14ac:dyDescent="0.25">
      <c r="A52" s="8" t="s">
        <v>58</v>
      </c>
      <c r="B52" s="11"/>
      <c r="C52" s="6">
        <f>32</f>
        <v>32</v>
      </c>
      <c r="D52" s="13">
        <f t="shared" si="23"/>
        <v>-32</v>
      </c>
      <c r="E52" s="11"/>
      <c r="F52" s="6">
        <f>32</f>
        <v>32</v>
      </c>
      <c r="G52" s="13">
        <f t="shared" si="24"/>
        <v>-32</v>
      </c>
      <c r="H52" s="11"/>
      <c r="I52" s="6">
        <f>32</f>
        <v>32</v>
      </c>
      <c r="J52" s="13">
        <f t="shared" si="25"/>
        <v>-32</v>
      </c>
      <c r="K52" s="11"/>
      <c r="L52" s="6">
        <f>32</f>
        <v>32</v>
      </c>
      <c r="M52" s="13">
        <f t="shared" si="26"/>
        <v>-32</v>
      </c>
      <c r="N52" s="11"/>
      <c r="O52" s="6">
        <f>32</f>
        <v>32</v>
      </c>
      <c r="P52" s="13">
        <f t="shared" si="27"/>
        <v>-32</v>
      </c>
      <c r="Q52" s="11"/>
      <c r="R52" s="6">
        <f>32</f>
        <v>32</v>
      </c>
      <c r="S52" s="13">
        <f t="shared" si="28"/>
        <v>-32</v>
      </c>
      <c r="T52" s="11"/>
      <c r="U52" s="6">
        <f>32</f>
        <v>32</v>
      </c>
      <c r="V52" s="13">
        <f t="shared" si="29"/>
        <v>-32</v>
      </c>
      <c r="W52" s="11"/>
      <c r="X52" s="6">
        <f>32</f>
        <v>32</v>
      </c>
      <c r="Y52" s="13">
        <f t="shared" si="30"/>
        <v>-32</v>
      </c>
      <c r="Z52" s="11"/>
      <c r="AA52" s="6">
        <f>32</f>
        <v>32</v>
      </c>
      <c r="AB52" s="13">
        <f t="shared" si="31"/>
        <v>-32</v>
      </c>
      <c r="AC52" s="14">
        <f t="shared" si="32"/>
        <v>0</v>
      </c>
      <c r="AD52" s="6">
        <f t="shared" si="33"/>
        <v>288</v>
      </c>
      <c r="AE52" s="13">
        <f t="shared" si="34"/>
        <v>-288</v>
      </c>
    </row>
    <row r="53" spans="1:31" x14ac:dyDescent="0.25">
      <c r="A53" s="8" t="s">
        <v>59</v>
      </c>
      <c r="B53" s="11"/>
      <c r="C53" s="5"/>
      <c r="D53" s="13">
        <f t="shared" si="23"/>
        <v>0</v>
      </c>
      <c r="E53" s="11"/>
      <c r="F53" s="5"/>
      <c r="G53" s="13">
        <f t="shared" si="24"/>
        <v>0</v>
      </c>
      <c r="H53" s="11"/>
      <c r="I53" s="5"/>
      <c r="J53" s="13">
        <f t="shared" si="25"/>
        <v>0</v>
      </c>
      <c r="K53" s="11"/>
      <c r="L53" s="5"/>
      <c r="M53" s="13">
        <f t="shared" si="26"/>
        <v>0</v>
      </c>
      <c r="N53" s="11"/>
      <c r="O53" s="5"/>
      <c r="P53" s="13">
        <f t="shared" si="27"/>
        <v>0</v>
      </c>
      <c r="Q53" s="11"/>
      <c r="R53" s="5"/>
      <c r="S53" s="13">
        <f t="shared" si="28"/>
        <v>0</v>
      </c>
      <c r="T53" s="11"/>
      <c r="U53" s="5"/>
      <c r="V53" s="13">
        <f t="shared" si="29"/>
        <v>0</v>
      </c>
      <c r="W53" s="11"/>
      <c r="X53" s="5"/>
      <c r="Y53" s="13">
        <f t="shared" si="30"/>
        <v>0</v>
      </c>
      <c r="Z53" s="11"/>
      <c r="AA53" s="5"/>
      <c r="AB53" s="13">
        <f t="shared" si="31"/>
        <v>0</v>
      </c>
      <c r="AC53" s="14">
        <f t="shared" si="32"/>
        <v>0</v>
      </c>
      <c r="AD53" s="6">
        <f t="shared" si="33"/>
        <v>0</v>
      </c>
      <c r="AE53" s="13">
        <f t="shared" si="34"/>
        <v>0</v>
      </c>
    </row>
    <row r="54" spans="1:31" x14ac:dyDescent="0.25">
      <c r="A54" s="8" t="s">
        <v>60</v>
      </c>
      <c r="B54" s="14">
        <f>18.46</f>
        <v>18.46</v>
      </c>
      <c r="C54" s="6">
        <f>479.16</f>
        <v>479.16</v>
      </c>
      <c r="D54" s="13">
        <f t="shared" si="23"/>
        <v>-460.70000000000005</v>
      </c>
      <c r="E54" s="14">
        <f>580.55</f>
        <v>580.54999999999995</v>
      </c>
      <c r="F54" s="6">
        <f>479.16</f>
        <v>479.16</v>
      </c>
      <c r="G54" s="13">
        <f t="shared" si="24"/>
        <v>101.38999999999993</v>
      </c>
      <c r="H54" s="14">
        <f>146.15</f>
        <v>146.15</v>
      </c>
      <c r="I54" s="6">
        <f>479.16</f>
        <v>479.16</v>
      </c>
      <c r="J54" s="13">
        <f t="shared" si="25"/>
        <v>-333.01</v>
      </c>
      <c r="K54" s="14">
        <f>62.97</f>
        <v>62.97</v>
      </c>
      <c r="L54" s="6">
        <f>479.16</f>
        <v>479.16</v>
      </c>
      <c r="M54" s="13">
        <f t="shared" si="26"/>
        <v>-416.19000000000005</v>
      </c>
      <c r="N54" s="14">
        <f>1433.91</f>
        <v>1433.91</v>
      </c>
      <c r="O54" s="6">
        <f>479.16</f>
        <v>479.16</v>
      </c>
      <c r="P54" s="13">
        <f t="shared" si="27"/>
        <v>954.75</v>
      </c>
      <c r="Q54" s="14">
        <f>124.8</f>
        <v>124.8</v>
      </c>
      <c r="R54" s="6">
        <f>479.16</f>
        <v>479.16</v>
      </c>
      <c r="S54" s="13">
        <f t="shared" si="28"/>
        <v>-354.36</v>
      </c>
      <c r="T54" s="14">
        <f>544.41</f>
        <v>544.41</v>
      </c>
      <c r="U54" s="6">
        <f>479.16</f>
        <v>479.16</v>
      </c>
      <c r="V54" s="13">
        <f t="shared" si="29"/>
        <v>65.249999999999943</v>
      </c>
      <c r="W54" s="14">
        <f>472.37</f>
        <v>472.37</v>
      </c>
      <c r="X54" s="6">
        <f>479.16</f>
        <v>479.16</v>
      </c>
      <c r="Y54" s="13">
        <f t="shared" si="30"/>
        <v>-6.7900000000000205</v>
      </c>
      <c r="Z54" s="14">
        <f>927.89</f>
        <v>927.89</v>
      </c>
      <c r="AA54" s="6">
        <f>479.16</f>
        <v>479.16</v>
      </c>
      <c r="AB54" s="13">
        <f t="shared" si="31"/>
        <v>448.72999999999996</v>
      </c>
      <c r="AC54" s="14">
        <f t="shared" si="32"/>
        <v>4311.51</v>
      </c>
      <c r="AD54" s="6">
        <f t="shared" si="33"/>
        <v>4312.4399999999996</v>
      </c>
      <c r="AE54" s="13">
        <f t="shared" si="34"/>
        <v>-0.92999999999938154</v>
      </c>
    </row>
    <row r="55" spans="1:31" x14ac:dyDescent="0.25">
      <c r="A55" s="8" t="s">
        <v>61</v>
      </c>
      <c r="B55" s="14">
        <f>353.94</f>
        <v>353.94</v>
      </c>
      <c r="C55" s="6">
        <f>479.16</f>
        <v>479.16</v>
      </c>
      <c r="D55" s="13">
        <f t="shared" si="23"/>
        <v>-125.22000000000003</v>
      </c>
      <c r="E55" s="14">
        <f>612.41</f>
        <v>612.41</v>
      </c>
      <c r="F55" s="6">
        <f>479.16</f>
        <v>479.16</v>
      </c>
      <c r="G55" s="13">
        <f t="shared" si="24"/>
        <v>133.24999999999994</v>
      </c>
      <c r="H55" s="14">
        <f>80.56</f>
        <v>80.56</v>
      </c>
      <c r="I55" s="6">
        <f>479.16</f>
        <v>479.16</v>
      </c>
      <c r="J55" s="13">
        <f t="shared" si="25"/>
        <v>-398.6</v>
      </c>
      <c r="K55" s="14">
        <f>178.44</f>
        <v>178.44</v>
      </c>
      <c r="L55" s="6">
        <f>479.16</f>
        <v>479.16</v>
      </c>
      <c r="M55" s="13">
        <f t="shared" si="26"/>
        <v>-300.72000000000003</v>
      </c>
      <c r="N55" s="14">
        <f>2023.16</f>
        <v>2023.16</v>
      </c>
      <c r="O55" s="6">
        <f>479.16</f>
        <v>479.16</v>
      </c>
      <c r="P55" s="13">
        <f t="shared" si="27"/>
        <v>1544</v>
      </c>
      <c r="Q55" s="14">
        <f>203.26</f>
        <v>203.26</v>
      </c>
      <c r="R55" s="6">
        <f>479.16</f>
        <v>479.16</v>
      </c>
      <c r="S55" s="13">
        <f t="shared" si="28"/>
        <v>-275.90000000000003</v>
      </c>
      <c r="T55" s="14">
        <f>18.46</f>
        <v>18.46</v>
      </c>
      <c r="U55" s="6">
        <f>479.16</f>
        <v>479.16</v>
      </c>
      <c r="V55" s="13">
        <f t="shared" si="29"/>
        <v>-460.70000000000005</v>
      </c>
      <c r="W55" s="14">
        <f>220.27</f>
        <v>220.27</v>
      </c>
      <c r="X55" s="6">
        <f>479.16</f>
        <v>479.16</v>
      </c>
      <c r="Y55" s="13">
        <f t="shared" si="30"/>
        <v>-258.89</v>
      </c>
      <c r="Z55" s="14">
        <f>408.89</f>
        <v>408.89</v>
      </c>
      <c r="AA55" s="6">
        <f>479.16</f>
        <v>479.16</v>
      </c>
      <c r="AB55" s="13">
        <f t="shared" si="31"/>
        <v>-70.270000000000039</v>
      </c>
      <c r="AC55" s="14">
        <f t="shared" si="32"/>
        <v>4099.3900000000003</v>
      </c>
      <c r="AD55" s="6">
        <f t="shared" si="33"/>
        <v>4312.4399999999996</v>
      </c>
      <c r="AE55" s="13">
        <f t="shared" si="34"/>
        <v>-213.04999999999927</v>
      </c>
    </row>
    <row r="56" spans="1:31" x14ac:dyDescent="0.25">
      <c r="A56" s="8" t="s">
        <v>62</v>
      </c>
      <c r="B56" s="14">
        <f>3469.99</f>
        <v>3469.99</v>
      </c>
      <c r="C56" s="6">
        <f>958.33</f>
        <v>958.33</v>
      </c>
      <c r="D56" s="13">
        <f t="shared" si="23"/>
        <v>2511.66</v>
      </c>
      <c r="E56" s="14">
        <f>583.41</f>
        <v>583.41</v>
      </c>
      <c r="F56" s="6">
        <f>958.33</f>
        <v>958.33</v>
      </c>
      <c r="G56" s="13">
        <f t="shared" si="24"/>
        <v>-374.92000000000007</v>
      </c>
      <c r="H56" s="11"/>
      <c r="I56" s="6">
        <f>958.33</f>
        <v>958.33</v>
      </c>
      <c r="J56" s="13">
        <f t="shared" si="25"/>
        <v>-958.33</v>
      </c>
      <c r="K56" s="14">
        <f>708.45</f>
        <v>708.45</v>
      </c>
      <c r="L56" s="6">
        <f>958.33</f>
        <v>958.33</v>
      </c>
      <c r="M56" s="13">
        <f t="shared" si="26"/>
        <v>-249.88</v>
      </c>
      <c r="N56" s="14">
        <f>812.86</f>
        <v>812.86</v>
      </c>
      <c r="O56" s="6">
        <f>958.33</f>
        <v>958.33</v>
      </c>
      <c r="P56" s="13">
        <f t="shared" si="27"/>
        <v>-145.47000000000003</v>
      </c>
      <c r="Q56" s="14">
        <f>475.48</f>
        <v>475.48</v>
      </c>
      <c r="R56" s="6">
        <f>958.33</f>
        <v>958.33</v>
      </c>
      <c r="S56" s="13">
        <f t="shared" si="28"/>
        <v>-482.85</v>
      </c>
      <c r="T56" s="14">
        <f>156.94</f>
        <v>156.94</v>
      </c>
      <c r="U56" s="6">
        <f>958.33</f>
        <v>958.33</v>
      </c>
      <c r="V56" s="13">
        <f t="shared" si="29"/>
        <v>-801.3900000000001</v>
      </c>
      <c r="W56" s="14">
        <f>514.59</f>
        <v>514.59</v>
      </c>
      <c r="X56" s="6">
        <f>958.33</f>
        <v>958.33</v>
      </c>
      <c r="Y56" s="13">
        <f t="shared" si="30"/>
        <v>-443.74</v>
      </c>
      <c r="Z56" s="14">
        <f>2618.55</f>
        <v>2618.5500000000002</v>
      </c>
      <c r="AA56" s="6">
        <f>958.33</f>
        <v>958.33</v>
      </c>
      <c r="AB56" s="13">
        <f t="shared" si="31"/>
        <v>1660.2200000000003</v>
      </c>
      <c r="AC56" s="14">
        <f t="shared" si="32"/>
        <v>9340.2699999999986</v>
      </c>
      <c r="AD56" s="6">
        <f t="shared" si="33"/>
        <v>8624.9700000000012</v>
      </c>
      <c r="AE56" s="13">
        <f t="shared" si="34"/>
        <v>715.29999999999745</v>
      </c>
    </row>
    <row r="57" spans="1:31" x14ac:dyDescent="0.25">
      <c r="A57" s="8" t="s">
        <v>63</v>
      </c>
      <c r="B57" s="15">
        <f>(((B53)+(B54))+(B55))+(B56)</f>
        <v>3842.39</v>
      </c>
      <c r="C57" s="7">
        <f>(((C53)+(C54))+(C55))+(C56)</f>
        <v>1916.65</v>
      </c>
      <c r="D57" s="16">
        <f t="shared" si="23"/>
        <v>1925.7399999999998</v>
      </c>
      <c r="E57" s="15">
        <f>(((E53)+(E54))+(E55))+(E56)</f>
        <v>1776.37</v>
      </c>
      <c r="F57" s="7">
        <f>(((F53)+(F54))+(F55))+(F56)</f>
        <v>1916.65</v>
      </c>
      <c r="G57" s="16">
        <f t="shared" si="24"/>
        <v>-140.2800000000002</v>
      </c>
      <c r="H57" s="15">
        <f>(((H53)+(H54))+(H55))+(H56)</f>
        <v>226.71</v>
      </c>
      <c r="I57" s="7">
        <f>(((I53)+(I54))+(I55))+(I56)</f>
        <v>1916.65</v>
      </c>
      <c r="J57" s="16">
        <f t="shared" si="25"/>
        <v>-1689.94</v>
      </c>
      <c r="K57" s="15">
        <f>(((K53)+(K54))+(K55))+(K56)</f>
        <v>949.86</v>
      </c>
      <c r="L57" s="7">
        <f>(((L53)+(L54))+(L55))+(L56)</f>
        <v>1916.65</v>
      </c>
      <c r="M57" s="16">
        <f t="shared" si="26"/>
        <v>-966.79000000000008</v>
      </c>
      <c r="N57" s="15">
        <f>(((N53)+(N54))+(N55))+(N56)</f>
        <v>4269.93</v>
      </c>
      <c r="O57" s="7">
        <f>(((O53)+(O54))+(O55))+(O56)</f>
        <v>1916.65</v>
      </c>
      <c r="P57" s="16">
        <f t="shared" si="27"/>
        <v>2353.2800000000002</v>
      </c>
      <c r="Q57" s="15">
        <f>(((Q53)+(Q54))+(Q55))+(Q56)</f>
        <v>803.54</v>
      </c>
      <c r="R57" s="7">
        <f>(((R53)+(R54))+(R55))+(R56)</f>
        <v>1916.65</v>
      </c>
      <c r="S57" s="16">
        <f t="shared" si="28"/>
        <v>-1113.1100000000001</v>
      </c>
      <c r="T57" s="15">
        <f>(((T53)+(T54))+(T55))+(T56)</f>
        <v>719.81</v>
      </c>
      <c r="U57" s="7">
        <f>(((U53)+(U54))+(U55))+(U56)</f>
        <v>1916.65</v>
      </c>
      <c r="V57" s="16">
        <f t="shared" si="29"/>
        <v>-1196.8400000000001</v>
      </c>
      <c r="W57" s="15">
        <f>(((W53)+(W54))+(W55))+(W56)</f>
        <v>1207.23</v>
      </c>
      <c r="X57" s="7">
        <f>(((X53)+(X54))+(X55))+(X56)</f>
        <v>1916.65</v>
      </c>
      <c r="Y57" s="16">
        <f t="shared" si="30"/>
        <v>-709.42000000000007</v>
      </c>
      <c r="Z57" s="15">
        <f>(((Z53)+(Z54))+(Z55))+(Z56)</f>
        <v>3955.33</v>
      </c>
      <c r="AA57" s="7">
        <f>(((AA53)+(AA54))+(AA55))+(AA56)</f>
        <v>1916.65</v>
      </c>
      <c r="AB57" s="16">
        <f t="shared" si="31"/>
        <v>2038.6799999999998</v>
      </c>
      <c r="AC57" s="15">
        <f t="shared" si="32"/>
        <v>17751.169999999998</v>
      </c>
      <c r="AD57" s="7">
        <f t="shared" si="33"/>
        <v>17249.849999999999</v>
      </c>
      <c r="AE57" s="16">
        <f t="shared" si="34"/>
        <v>501.31999999999971</v>
      </c>
    </row>
    <row r="58" spans="1:31" x14ac:dyDescent="0.25">
      <c r="A58" s="8" t="s">
        <v>64</v>
      </c>
      <c r="B58" s="14">
        <f>127.91</f>
        <v>127.91</v>
      </c>
      <c r="C58" s="6">
        <f>166.66</f>
        <v>166.66</v>
      </c>
      <c r="D58" s="13">
        <f t="shared" si="23"/>
        <v>-38.75</v>
      </c>
      <c r="E58" s="14">
        <f>127.91</f>
        <v>127.91</v>
      </c>
      <c r="F58" s="6">
        <f>166.66</f>
        <v>166.66</v>
      </c>
      <c r="G58" s="13">
        <f t="shared" si="24"/>
        <v>-38.75</v>
      </c>
      <c r="H58" s="14">
        <f>127.91</f>
        <v>127.91</v>
      </c>
      <c r="I58" s="6">
        <f>166.66</f>
        <v>166.66</v>
      </c>
      <c r="J58" s="13">
        <f t="shared" si="25"/>
        <v>-38.75</v>
      </c>
      <c r="K58" s="14">
        <f>127.91</f>
        <v>127.91</v>
      </c>
      <c r="L58" s="6">
        <f>166.66</f>
        <v>166.66</v>
      </c>
      <c r="M58" s="13">
        <f t="shared" si="26"/>
        <v>-38.75</v>
      </c>
      <c r="N58" s="14">
        <f>127.91</f>
        <v>127.91</v>
      </c>
      <c r="O58" s="6">
        <f>166.67</f>
        <v>166.67</v>
      </c>
      <c r="P58" s="13">
        <f t="shared" si="27"/>
        <v>-38.759999999999991</v>
      </c>
      <c r="Q58" s="14">
        <f>127.91</f>
        <v>127.91</v>
      </c>
      <c r="R58" s="6">
        <f>166.67</f>
        <v>166.67</v>
      </c>
      <c r="S58" s="13">
        <f t="shared" si="28"/>
        <v>-38.759999999999991</v>
      </c>
      <c r="T58" s="14">
        <f>127.91</f>
        <v>127.91</v>
      </c>
      <c r="U58" s="6">
        <f>166.67</f>
        <v>166.67</v>
      </c>
      <c r="V58" s="13">
        <f t="shared" si="29"/>
        <v>-38.759999999999991</v>
      </c>
      <c r="W58" s="14">
        <f>127.91</f>
        <v>127.91</v>
      </c>
      <c r="X58" s="6">
        <f>166.67</f>
        <v>166.67</v>
      </c>
      <c r="Y58" s="13">
        <f t="shared" si="30"/>
        <v>-38.759999999999991</v>
      </c>
      <c r="Z58" s="14">
        <f>127.91</f>
        <v>127.91</v>
      </c>
      <c r="AA58" s="6">
        <f>166.67</f>
        <v>166.67</v>
      </c>
      <c r="AB58" s="13">
        <f t="shared" si="31"/>
        <v>-38.759999999999991</v>
      </c>
      <c r="AC58" s="14">
        <f t="shared" si="32"/>
        <v>1151.1899999999998</v>
      </c>
      <c r="AD58" s="6">
        <f t="shared" si="33"/>
        <v>1499.99</v>
      </c>
      <c r="AE58" s="13">
        <f t="shared" si="34"/>
        <v>-348.80000000000018</v>
      </c>
    </row>
    <row r="59" spans="1:31" x14ac:dyDescent="0.25">
      <c r="A59" s="8" t="s">
        <v>65</v>
      </c>
      <c r="B59" s="14">
        <f>1146.16</f>
        <v>1146.1600000000001</v>
      </c>
      <c r="C59" s="6">
        <f>1291.67</f>
        <v>1291.67</v>
      </c>
      <c r="D59" s="13">
        <f t="shared" si="23"/>
        <v>-145.51</v>
      </c>
      <c r="E59" s="14">
        <f>1098.03</f>
        <v>1098.03</v>
      </c>
      <c r="F59" s="6">
        <f>1291.67</f>
        <v>1291.67</v>
      </c>
      <c r="G59" s="13">
        <f t="shared" si="24"/>
        <v>-193.6400000000001</v>
      </c>
      <c r="H59" s="14">
        <f>1055.26</f>
        <v>1055.26</v>
      </c>
      <c r="I59" s="6">
        <f>1291.67</f>
        <v>1291.67</v>
      </c>
      <c r="J59" s="13">
        <f t="shared" si="25"/>
        <v>-236.41000000000008</v>
      </c>
      <c r="K59" s="14">
        <f>1445.86</f>
        <v>1445.86</v>
      </c>
      <c r="L59" s="6">
        <f>1291.67</f>
        <v>1291.67</v>
      </c>
      <c r="M59" s="13">
        <f t="shared" si="26"/>
        <v>154.18999999999983</v>
      </c>
      <c r="N59" s="11"/>
      <c r="O59" s="6">
        <f>1291.67</f>
        <v>1291.67</v>
      </c>
      <c r="P59" s="13">
        <f t="shared" si="27"/>
        <v>-1291.67</v>
      </c>
      <c r="Q59" s="14">
        <f>765.85</f>
        <v>765.85</v>
      </c>
      <c r="R59" s="6">
        <f>1291.67</f>
        <v>1291.67</v>
      </c>
      <c r="S59" s="13">
        <f t="shared" si="28"/>
        <v>-525.82000000000005</v>
      </c>
      <c r="T59" s="14">
        <f>862.56</f>
        <v>862.56</v>
      </c>
      <c r="U59" s="6">
        <f>1291.67</f>
        <v>1291.67</v>
      </c>
      <c r="V59" s="13">
        <f t="shared" si="29"/>
        <v>-429.11000000000013</v>
      </c>
      <c r="W59" s="14">
        <f>880.16</f>
        <v>880.16</v>
      </c>
      <c r="X59" s="6">
        <f>1291.67</f>
        <v>1291.67</v>
      </c>
      <c r="Y59" s="13">
        <f t="shared" si="30"/>
        <v>-411.5100000000001</v>
      </c>
      <c r="Z59" s="14">
        <f>906.15</f>
        <v>906.15</v>
      </c>
      <c r="AA59" s="6">
        <f>1291.67</f>
        <v>1291.67</v>
      </c>
      <c r="AB59" s="13">
        <f t="shared" si="31"/>
        <v>-385.5200000000001</v>
      </c>
      <c r="AC59" s="14">
        <f t="shared" si="32"/>
        <v>8160.0299999999988</v>
      </c>
      <c r="AD59" s="6">
        <f t="shared" si="33"/>
        <v>11625.03</v>
      </c>
      <c r="AE59" s="13">
        <f t="shared" si="34"/>
        <v>-3465.0000000000018</v>
      </c>
    </row>
    <row r="60" spans="1:31" x14ac:dyDescent="0.25">
      <c r="A60" s="8" t="s">
        <v>66</v>
      </c>
      <c r="B60" s="14">
        <f>116.59</f>
        <v>116.59</v>
      </c>
      <c r="C60" s="6">
        <f>120</f>
        <v>120</v>
      </c>
      <c r="D60" s="13">
        <f t="shared" si="23"/>
        <v>-3.4099999999999966</v>
      </c>
      <c r="E60" s="14">
        <f>116.59</f>
        <v>116.59</v>
      </c>
      <c r="F60" s="6">
        <f>120</f>
        <v>120</v>
      </c>
      <c r="G60" s="13">
        <f t="shared" si="24"/>
        <v>-3.4099999999999966</v>
      </c>
      <c r="H60" s="14">
        <f>118.23</f>
        <v>118.23</v>
      </c>
      <c r="I60" s="6">
        <f>120</f>
        <v>120</v>
      </c>
      <c r="J60" s="13">
        <f t="shared" si="25"/>
        <v>-1.769999999999996</v>
      </c>
      <c r="K60" s="14">
        <f>118.27</f>
        <v>118.27</v>
      </c>
      <c r="L60" s="6">
        <f>120</f>
        <v>120</v>
      </c>
      <c r="M60" s="13">
        <f t="shared" si="26"/>
        <v>-1.730000000000004</v>
      </c>
      <c r="N60" s="14">
        <f>123.27</f>
        <v>123.27</v>
      </c>
      <c r="O60" s="6">
        <f>120</f>
        <v>120</v>
      </c>
      <c r="P60" s="13">
        <f t="shared" si="27"/>
        <v>3.269999999999996</v>
      </c>
      <c r="Q60" s="14">
        <f>123.27</f>
        <v>123.27</v>
      </c>
      <c r="R60" s="6">
        <f>120</f>
        <v>120</v>
      </c>
      <c r="S60" s="13">
        <f t="shared" si="28"/>
        <v>3.269999999999996</v>
      </c>
      <c r="T60" s="14">
        <f>122.58</f>
        <v>122.58</v>
      </c>
      <c r="U60" s="6">
        <f>120</f>
        <v>120</v>
      </c>
      <c r="V60" s="13">
        <f t="shared" si="29"/>
        <v>2.5799999999999983</v>
      </c>
      <c r="W60" s="14">
        <f>122.58</f>
        <v>122.58</v>
      </c>
      <c r="X60" s="6">
        <f>120</f>
        <v>120</v>
      </c>
      <c r="Y60" s="13">
        <f t="shared" si="30"/>
        <v>2.5799999999999983</v>
      </c>
      <c r="Z60" s="14">
        <f>122.58</f>
        <v>122.58</v>
      </c>
      <c r="AA60" s="6">
        <f>120</f>
        <v>120</v>
      </c>
      <c r="AB60" s="13">
        <f t="shared" si="31"/>
        <v>2.5799999999999983</v>
      </c>
      <c r="AC60" s="14">
        <f t="shared" si="32"/>
        <v>1083.96</v>
      </c>
      <c r="AD60" s="6">
        <f t="shared" si="33"/>
        <v>1080</v>
      </c>
      <c r="AE60" s="13">
        <f t="shared" si="34"/>
        <v>3.9600000000000364</v>
      </c>
    </row>
    <row r="61" spans="1:31" x14ac:dyDescent="0.25">
      <c r="A61" s="8" t="s">
        <v>67</v>
      </c>
      <c r="B61" s="14">
        <f>481.87</f>
        <v>481.87</v>
      </c>
      <c r="C61" s="6">
        <f>400</f>
        <v>400</v>
      </c>
      <c r="D61" s="13">
        <f t="shared" si="23"/>
        <v>81.87</v>
      </c>
      <c r="E61" s="14">
        <f>474.6</f>
        <v>474.6</v>
      </c>
      <c r="F61" s="6">
        <f>400</f>
        <v>400</v>
      </c>
      <c r="G61" s="13">
        <f t="shared" si="24"/>
        <v>74.600000000000023</v>
      </c>
      <c r="H61" s="14">
        <f>468.13</f>
        <v>468.13</v>
      </c>
      <c r="I61" s="6">
        <f>400</f>
        <v>400</v>
      </c>
      <c r="J61" s="13">
        <f t="shared" si="25"/>
        <v>68.13</v>
      </c>
      <c r="K61" s="14">
        <f>468.25</f>
        <v>468.25</v>
      </c>
      <c r="L61" s="6">
        <f>400</f>
        <v>400</v>
      </c>
      <c r="M61" s="13">
        <f t="shared" si="26"/>
        <v>68.25</v>
      </c>
      <c r="N61" s="14">
        <f>472.3</f>
        <v>472.3</v>
      </c>
      <c r="O61" s="6">
        <f>400</f>
        <v>400</v>
      </c>
      <c r="P61" s="13">
        <f t="shared" si="27"/>
        <v>72.300000000000011</v>
      </c>
      <c r="Q61" s="14">
        <f>470.51</f>
        <v>470.51</v>
      </c>
      <c r="R61" s="6">
        <f>400</f>
        <v>400</v>
      </c>
      <c r="S61" s="13">
        <f t="shared" si="28"/>
        <v>70.509999999999991</v>
      </c>
      <c r="T61" s="14">
        <f>469.75</f>
        <v>469.75</v>
      </c>
      <c r="U61" s="6">
        <f>400</f>
        <v>400</v>
      </c>
      <c r="V61" s="13">
        <f t="shared" si="29"/>
        <v>69.75</v>
      </c>
      <c r="W61" s="14">
        <f>465.82</f>
        <v>465.82</v>
      </c>
      <c r="X61" s="6">
        <f>400</f>
        <v>400</v>
      </c>
      <c r="Y61" s="13">
        <f t="shared" si="30"/>
        <v>65.819999999999993</v>
      </c>
      <c r="Z61" s="14">
        <f>465.74</f>
        <v>465.74</v>
      </c>
      <c r="AA61" s="6">
        <f>400</f>
        <v>400</v>
      </c>
      <c r="AB61" s="13">
        <f t="shared" si="31"/>
        <v>65.740000000000009</v>
      </c>
      <c r="AC61" s="14">
        <f t="shared" si="32"/>
        <v>4236.97</v>
      </c>
      <c r="AD61" s="6">
        <f t="shared" si="33"/>
        <v>3600</v>
      </c>
      <c r="AE61" s="13">
        <f t="shared" si="34"/>
        <v>636.97000000000025</v>
      </c>
    </row>
    <row r="62" spans="1:31" x14ac:dyDescent="0.25">
      <c r="A62" s="8" t="s">
        <v>68</v>
      </c>
      <c r="B62" s="15">
        <f>(((B58)+(B59))+(B60))+(B61)</f>
        <v>1872.5300000000002</v>
      </c>
      <c r="C62" s="7">
        <f>(((C58)+(C59))+(C60))+(C61)</f>
        <v>1978.3300000000002</v>
      </c>
      <c r="D62" s="16">
        <f t="shared" si="23"/>
        <v>-105.79999999999995</v>
      </c>
      <c r="E62" s="15">
        <f>(((E58)+(E59))+(E60))+(E61)</f>
        <v>1817.13</v>
      </c>
      <c r="F62" s="7">
        <f>(((F58)+(F59))+(F60))+(F61)</f>
        <v>1978.3300000000002</v>
      </c>
      <c r="G62" s="16">
        <f t="shared" si="24"/>
        <v>-161.20000000000005</v>
      </c>
      <c r="H62" s="15">
        <f>(((H58)+(H59))+(H60))+(H61)</f>
        <v>1769.5300000000002</v>
      </c>
      <c r="I62" s="7">
        <f>(((I58)+(I59))+(I60))+(I61)</f>
        <v>1978.3300000000002</v>
      </c>
      <c r="J62" s="16">
        <f t="shared" si="25"/>
        <v>-208.79999999999995</v>
      </c>
      <c r="K62" s="15">
        <f>(((K58)+(K59))+(K60))+(K61)</f>
        <v>2160.29</v>
      </c>
      <c r="L62" s="7">
        <f>(((L58)+(L59))+(L60))+(L61)</f>
        <v>1978.3300000000002</v>
      </c>
      <c r="M62" s="16">
        <f t="shared" si="26"/>
        <v>181.95999999999981</v>
      </c>
      <c r="N62" s="15">
        <f>(((N58)+(N59))+(N60))+(N61)</f>
        <v>723.48</v>
      </c>
      <c r="O62" s="7">
        <f>(((O58)+(O59))+(O60))+(O61)</f>
        <v>1978.3400000000001</v>
      </c>
      <c r="P62" s="16">
        <f t="shared" si="27"/>
        <v>-1254.8600000000001</v>
      </c>
      <c r="Q62" s="15">
        <f>(((Q58)+(Q59))+(Q60))+(Q61)</f>
        <v>1487.54</v>
      </c>
      <c r="R62" s="7">
        <f>(((R58)+(R59))+(R60))+(R61)</f>
        <v>1978.3400000000001</v>
      </c>
      <c r="S62" s="16">
        <f t="shared" si="28"/>
        <v>-490.80000000000018</v>
      </c>
      <c r="T62" s="15">
        <f>(((T58)+(T59))+(T60))+(T61)</f>
        <v>1582.8</v>
      </c>
      <c r="U62" s="7">
        <f>(((U58)+(U59))+(U60))+(U61)</f>
        <v>1978.3400000000001</v>
      </c>
      <c r="V62" s="16">
        <f t="shared" si="29"/>
        <v>-395.54000000000019</v>
      </c>
      <c r="W62" s="15">
        <f>(((W58)+(W59))+(W60))+(W61)</f>
        <v>1596.4699999999998</v>
      </c>
      <c r="X62" s="7">
        <f>(((X58)+(X59))+(X60))+(X61)</f>
        <v>1978.3400000000001</v>
      </c>
      <c r="Y62" s="16">
        <f t="shared" si="30"/>
        <v>-381.87000000000035</v>
      </c>
      <c r="Z62" s="15">
        <f>(((Z58)+(Z59))+(Z60))+(Z61)</f>
        <v>1622.3799999999999</v>
      </c>
      <c r="AA62" s="7">
        <f>(((AA58)+(AA59))+(AA60))+(AA61)</f>
        <v>1978.3400000000001</v>
      </c>
      <c r="AB62" s="16">
        <f t="shared" si="31"/>
        <v>-355.96000000000026</v>
      </c>
      <c r="AC62" s="15">
        <f t="shared" si="32"/>
        <v>14632.149999999998</v>
      </c>
      <c r="AD62" s="7">
        <f t="shared" si="33"/>
        <v>17805.02</v>
      </c>
      <c r="AE62" s="16">
        <f t="shared" si="34"/>
        <v>-3172.8700000000026</v>
      </c>
    </row>
    <row r="63" spans="1:31" x14ac:dyDescent="0.25">
      <c r="A63" s="8" t="s">
        <v>69</v>
      </c>
      <c r="B63" s="15">
        <f>((((((((((((((((((((((((B28)+(B29))+(B30))+(B31))+(B32))+(B33))+(B34))+(B35))+(B36))+(B37))+(B38))+(B39))+(B40))+(B41))+(B42))+(B43))+(B44))+(B45))+(B48))+(B49))+(B50))+(B51))+(B52))+(B57))+(B62)</f>
        <v>15187.900000000001</v>
      </c>
      <c r="C63" s="7">
        <f>((((((((((((((((((((((((C28)+(C29))+(C30))+(C31))+(C32))+(C33))+(C34))+(C35))+(C36))+(C37))+(C38))+(C39))+(C40))+(C41))+(C42))+(C43))+(C44))+(C45))+(C48))+(C49))+(C50))+(C51))+(C52))+(C57))+(C62)</f>
        <v>14457.48</v>
      </c>
      <c r="D63" s="16">
        <f t="shared" si="23"/>
        <v>730.42000000000189</v>
      </c>
      <c r="E63" s="15">
        <f>((((((((((((((((((((((((E28)+(E29))+(E30))+(E31))+(E32))+(E33))+(E34))+(E35))+(E36))+(E37))+(E38))+(E39))+(E40))+(E41))+(E42))+(E43))+(E44))+(E45))+(E48))+(E49))+(E50))+(E51))+(E52))+(E57))+(E62)</f>
        <v>13044.990000000002</v>
      </c>
      <c r="F63" s="7">
        <f>((((((((((((((((((((((((F28)+(F29))+(F30))+(F31))+(F32))+(F33))+(F34))+(F35))+(F36))+(F37))+(F38))+(F39))+(F40))+(F41))+(F42))+(F43))+(F44))+(F45))+(F48))+(F49))+(F50))+(F51))+(F52))+(F57))+(F62)</f>
        <v>14457.48</v>
      </c>
      <c r="G63" s="16">
        <f t="shared" si="24"/>
        <v>-1412.489999999998</v>
      </c>
      <c r="H63" s="15">
        <f>((((((((((((((((((((((((H28)+(H29))+(H30))+(H31))+(H32))+(H33))+(H34))+(H35))+(H36))+(H37))+(H38))+(H39))+(H40))+(H41))+(H42))+(H43))+(H44))+(H45))+(H48))+(H49))+(H50))+(H51))+(H52))+(H57))+(H62)</f>
        <v>9081.4</v>
      </c>
      <c r="I63" s="7">
        <f>((((((((((((((((((((((((I28)+(I29))+(I30))+(I31))+(I32))+(I33))+(I34))+(I35))+(I36))+(I37))+(I38))+(I39))+(I40))+(I41))+(I42))+(I43))+(I44))+(I45))+(I48))+(I49))+(I50))+(I51))+(I52))+(I57))+(I62)</f>
        <v>14457.48</v>
      </c>
      <c r="J63" s="16">
        <f t="shared" si="25"/>
        <v>-5376.08</v>
      </c>
      <c r="K63" s="15">
        <f>((((((((((((((((((((((((K28)+(K29))+(K30))+(K31))+(K32))+(K33))+(K34))+(K35))+(K36))+(K37))+(K38))+(K39))+(K40))+(K41))+(K42))+(K43))+(K44))+(K45))+(K48))+(K49))+(K50))+(K51))+(K52))+(K57))+(K62)</f>
        <v>12057.810000000001</v>
      </c>
      <c r="L63" s="7">
        <f>((((((((((((((((((((((((L28)+(L29))+(L30))+(L31))+(L32))+(L33))+(L34))+(L35))+(L36))+(L37))+(L38))+(L39))+(L40))+(L41))+(L42))+(L43))+(L44))+(L45))+(L48))+(L49))+(L50))+(L51))+(L52))+(L57))+(L62)</f>
        <v>14457.48</v>
      </c>
      <c r="M63" s="16">
        <f t="shared" si="26"/>
        <v>-2399.6699999999983</v>
      </c>
      <c r="N63" s="15">
        <f>((((((((((((((((((((((((N28)+(N29))+(N30))+(N31))+(N32))+(N33))+(N34))+(N35))+(N36))+(N37))+(N38))+(N39))+(N40))+(N41))+(N42))+(N43))+(N44))+(N45))+(N48))+(N49))+(N50))+(N51))+(N52))+(N57))+(N62)</f>
        <v>13307.640000000001</v>
      </c>
      <c r="O63" s="7">
        <f>((((((((((((((((((((((((O28)+(O29))+(O30))+(O31))+(O32))+(O33))+(O34))+(O35))+(O36))+(O37))+(O38))+(O39))+(O40))+(O41))+(O42))+(O43))+(O44))+(O45))+(O48))+(O49))+(O50))+(O51))+(O52))+(O57))+(O62)</f>
        <v>14457.49</v>
      </c>
      <c r="P63" s="16">
        <f t="shared" si="27"/>
        <v>-1149.8499999999985</v>
      </c>
      <c r="Q63" s="15">
        <f>((((((((((((((((((((((((Q28)+(Q29))+(Q30))+(Q31))+(Q32))+(Q33))+(Q34))+(Q35))+(Q36))+(Q37))+(Q38))+(Q39))+(Q40))+(Q41))+(Q42))+(Q43))+(Q44))+(Q45))+(Q48))+(Q49))+(Q50))+(Q51))+(Q52))+(Q57))+(Q62)</f>
        <v>10270.470000000001</v>
      </c>
      <c r="R63" s="7">
        <f>((((((((((((((((((((((((R28)+(R29))+(R30))+(R31))+(R32))+(R33))+(R34))+(R35))+(R36))+(R37))+(R38))+(R39))+(R40))+(R41))+(R42))+(R43))+(R44))+(R45))+(R48))+(R49))+(R50))+(R51))+(R52))+(R57))+(R62)</f>
        <v>14457.49</v>
      </c>
      <c r="S63" s="16">
        <f t="shared" si="28"/>
        <v>-4187.0199999999986</v>
      </c>
      <c r="T63" s="15">
        <f>((((((((((((((((((((((((T28)+(T29))+(T30))+(T31))+(T32))+(T33))+(T34))+(T35))+(T36))+(T37))+(T38))+(T39))+(T40))+(T41))+(T42))+(T43))+(T44))+(T45))+(T48))+(T49))+(T50))+(T51))+(T52))+(T57))+(T62)</f>
        <v>10435.41</v>
      </c>
      <c r="U63" s="7">
        <f>((((((((((((((((((((((((U28)+(U29))+(U30))+(U31))+(U32))+(U33))+(U34))+(U35))+(U36))+(U37))+(U38))+(U39))+(U40))+(U41))+(U42))+(U43))+(U44))+(U45))+(U48))+(U49))+(U50))+(U51))+(U52))+(U57))+(U62)</f>
        <v>14457.49</v>
      </c>
      <c r="V63" s="16">
        <f t="shared" si="29"/>
        <v>-4022.08</v>
      </c>
      <c r="W63" s="15">
        <f>((((((((((((((((((((((((W28)+(W29))+(W30))+(W31))+(W32))+(W33))+(W34))+(W35))+(W36))+(W37))+(W38))+(W39))+(W40))+(W41))+(W42))+(W43))+(W44))+(W45))+(W48))+(W49))+(W50))+(W51))+(W52))+(W57))+(W62)</f>
        <v>15083.47</v>
      </c>
      <c r="X63" s="7">
        <f>((((((((((((((((((((((((X28)+(X29))+(X30))+(X31))+(X32))+(X33))+(X34))+(X35))+(X36))+(X37))+(X38))+(X39))+(X40))+(X41))+(X42))+(X43))+(X44))+(X45))+(X48))+(X49))+(X50))+(X51))+(X52))+(X57))+(X62)</f>
        <v>14457.49</v>
      </c>
      <c r="Y63" s="16">
        <f t="shared" si="30"/>
        <v>625.97999999999956</v>
      </c>
      <c r="Z63" s="15">
        <f>((((((((((((((((((((((((Z28)+(Z29))+(Z30))+(Z31))+(Z32))+(Z33))+(Z34))+(Z35))+(Z36))+(Z37))+(Z38))+(Z39))+(Z40))+(Z41))+(Z42))+(Z43))+(Z44))+(Z45))+(Z48))+(Z49))+(Z50))+(Z51))+(Z52))+(Z57))+(Z62)</f>
        <v>14050.35</v>
      </c>
      <c r="AA63" s="7">
        <f>((((((((((((((((((((((((AA28)+(AA29))+(AA30))+(AA31))+(AA32))+(AA33))+(AA34))+(AA35))+(AA36))+(AA37))+(AA38))+(AA39))+(AA40))+(AA41))+(AA42))+(AA43))+(AA44))+(AA45))+(AA48))+(AA49))+(AA50))+(AA51))+(AA52))+(AA57))+(AA62)</f>
        <v>14457.48</v>
      </c>
      <c r="AB63" s="16">
        <f t="shared" si="31"/>
        <v>-407.1299999999992</v>
      </c>
      <c r="AC63" s="15">
        <f t="shared" si="32"/>
        <v>112519.44000000002</v>
      </c>
      <c r="AD63" s="7">
        <f t="shared" si="33"/>
        <v>130117.36000000002</v>
      </c>
      <c r="AE63" s="16">
        <f t="shared" si="34"/>
        <v>-17597.919999999998</v>
      </c>
    </row>
    <row r="64" spans="1:31" x14ac:dyDescent="0.25">
      <c r="A64" s="8" t="s">
        <v>70</v>
      </c>
      <c r="B64" s="15">
        <f>(B26)-(B63)</f>
        <v>15221.14</v>
      </c>
      <c r="C64" s="7">
        <f>(C26)-(C63)</f>
        <v>3677.7799999999952</v>
      </c>
      <c r="D64" s="16">
        <f t="shared" si="23"/>
        <v>11543.360000000004</v>
      </c>
      <c r="E64" s="15">
        <f>(E26)-(E63)</f>
        <v>4750.8799999999937</v>
      </c>
      <c r="F64" s="7">
        <f>(F26)-(F63)</f>
        <v>3677.7799999999952</v>
      </c>
      <c r="G64" s="16">
        <f t="shared" si="24"/>
        <v>1073.0999999999985</v>
      </c>
      <c r="H64" s="15">
        <f>(H26)-(H63)</f>
        <v>-11755.380000000003</v>
      </c>
      <c r="I64" s="7">
        <f>(I26)-(I63)</f>
        <v>3677.7799999999952</v>
      </c>
      <c r="J64" s="16">
        <f t="shared" si="25"/>
        <v>-15433.159999999998</v>
      </c>
      <c r="K64" s="15">
        <f>(K26)-(K63)</f>
        <v>37157.39</v>
      </c>
      <c r="L64" s="7">
        <f>(L26)-(L63)</f>
        <v>3677.7799999999952</v>
      </c>
      <c r="M64" s="16">
        <f t="shared" si="26"/>
        <v>33479.61</v>
      </c>
      <c r="N64" s="15">
        <f>(N26)-(N63)</f>
        <v>12098.52000000001</v>
      </c>
      <c r="O64" s="7">
        <f>(O26)-(O63)</f>
        <v>3677.769999999995</v>
      </c>
      <c r="P64" s="16">
        <f t="shared" si="27"/>
        <v>8420.7500000000146</v>
      </c>
      <c r="Q64" s="15">
        <f>(Q26)-(Q63)</f>
        <v>2196.9000000000015</v>
      </c>
      <c r="R64" s="7">
        <f>(R26)-(R63)</f>
        <v>3677.769999999995</v>
      </c>
      <c r="S64" s="16">
        <f t="shared" si="28"/>
        <v>-1480.8699999999935</v>
      </c>
      <c r="T64" s="15">
        <f>(T26)-(T63)</f>
        <v>28069.830000000005</v>
      </c>
      <c r="U64" s="7">
        <f>(U26)-(U63)</f>
        <v>3677.769999999995</v>
      </c>
      <c r="V64" s="16">
        <f t="shared" si="29"/>
        <v>24392.060000000012</v>
      </c>
      <c r="W64" s="15">
        <f>(W26)-(W63)</f>
        <v>377.04999999999745</v>
      </c>
      <c r="X64" s="7">
        <f>(X26)-(X63)</f>
        <v>3677.76</v>
      </c>
      <c r="Y64" s="16">
        <f t="shared" si="30"/>
        <v>-3300.7100000000028</v>
      </c>
      <c r="Z64" s="15">
        <f>(Z26)-(Z63)</f>
        <v>30245.469999999994</v>
      </c>
      <c r="AA64" s="7">
        <f>(AA26)-(AA63)</f>
        <v>3677.7700000000004</v>
      </c>
      <c r="AB64" s="16">
        <f t="shared" si="31"/>
        <v>26567.699999999993</v>
      </c>
      <c r="AC64" s="15">
        <f t="shared" si="32"/>
        <v>118361.80000000002</v>
      </c>
      <c r="AD64" s="7">
        <f t="shared" si="33"/>
        <v>33099.959999999977</v>
      </c>
      <c r="AE64" s="16">
        <f t="shared" si="34"/>
        <v>85261.84000000004</v>
      </c>
    </row>
    <row r="65" spans="1:31" ht="15.75" thickBot="1" x14ac:dyDescent="0.3">
      <c r="A65" s="8" t="s">
        <v>71</v>
      </c>
      <c r="B65" s="17">
        <f>(B64)+(0)</f>
        <v>15221.14</v>
      </c>
      <c r="C65" s="18">
        <f>(C64)+(0)</f>
        <v>3677.7799999999952</v>
      </c>
      <c r="D65" s="19">
        <f t="shared" si="23"/>
        <v>11543.360000000004</v>
      </c>
      <c r="E65" s="17">
        <f>(E64)+(0)</f>
        <v>4750.8799999999937</v>
      </c>
      <c r="F65" s="18">
        <f>(F64)+(0)</f>
        <v>3677.7799999999952</v>
      </c>
      <c r="G65" s="19">
        <f t="shared" si="24"/>
        <v>1073.0999999999985</v>
      </c>
      <c r="H65" s="17">
        <f>(H64)+(0)</f>
        <v>-11755.380000000003</v>
      </c>
      <c r="I65" s="18">
        <f>(I64)+(0)</f>
        <v>3677.7799999999952</v>
      </c>
      <c r="J65" s="19">
        <f t="shared" si="25"/>
        <v>-15433.159999999998</v>
      </c>
      <c r="K65" s="17">
        <f>(K64)+(0)</f>
        <v>37157.39</v>
      </c>
      <c r="L65" s="18">
        <f>(L64)+(0)</f>
        <v>3677.7799999999952</v>
      </c>
      <c r="M65" s="19">
        <f t="shared" si="26"/>
        <v>33479.61</v>
      </c>
      <c r="N65" s="17">
        <f>(N64)+(0)</f>
        <v>12098.52000000001</v>
      </c>
      <c r="O65" s="18">
        <f>(O64)+(0)</f>
        <v>3677.769999999995</v>
      </c>
      <c r="P65" s="19">
        <f t="shared" si="27"/>
        <v>8420.7500000000146</v>
      </c>
      <c r="Q65" s="17">
        <f>(Q64)+(0)</f>
        <v>2196.9000000000015</v>
      </c>
      <c r="R65" s="18">
        <f>(R64)+(0)</f>
        <v>3677.769999999995</v>
      </c>
      <c r="S65" s="19">
        <f t="shared" si="28"/>
        <v>-1480.8699999999935</v>
      </c>
      <c r="T65" s="17">
        <f>(T64)+(0)</f>
        <v>28069.830000000005</v>
      </c>
      <c r="U65" s="18">
        <f>(U64)+(0)</f>
        <v>3677.769999999995</v>
      </c>
      <c r="V65" s="19">
        <f t="shared" si="29"/>
        <v>24392.060000000012</v>
      </c>
      <c r="W65" s="17">
        <f>(W64)+(0)</f>
        <v>377.04999999999745</v>
      </c>
      <c r="X65" s="18">
        <f>(X64)+(0)</f>
        <v>3677.76</v>
      </c>
      <c r="Y65" s="19">
        <f t="shared" si="30"/>
        <v>-3300.7100000000028</v>
      </c>
      <c r="Z65" s="17">
        <f>(Z64)+(0)</f>
        <v>30245.469999999994</v>
      </c>
      <c r="AA65" s="18">
        <f>(AA64)+(0)</f>
        <v>3677.7700000000004</v>
      </c>
      <c r="AB65" s="19">
        <f t="shared" si="31"/>
        <v>26567.699999999993</v>
      </c>
      <c r="AC65" s="17">
        <f t="shared" si="32"/>
        <v>118361.80000000002</v>
      </c>
      <c r="AD65" s="18">
        <f t="shared" si="33"/>
        <v>33099.959999999977</v>
      </c>
      <c r="AE65" s="19">
        <f t="shared" si="34"/>
        <v>85261.84000000004</v>
      </c>
    </row>
    <row r="66" spans="1:31" x14ac:dyDescent="0.25">
      <c r="A66" s="2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</row>
    <row r="67" spans="1:31" x14ac:dyDescent="0.25">
      <c r="A67" s="20" t="s">
        <v>72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</row>
  </sheetData>
  <mergeCells count="14">
    <mergeCell ref="A67:AE67"/>
    <mergeCell ref="A1:AE1"/>
    <mergeCell ref="A2:AE2"/>
    <mergeCell ref="A3:AE3"/>
    <mergeCell ref="Q5:S5"/>
    <mergeCell ref="T5:V5"/>
    <mergeCell ref="W5:Y5"/>
    <mergeCell ref="Z5:AB5"/>
    <mergeCell ref="AC5:AE5"/>
    <mergeCell ref="B5:D5"/>
    <mergeCell ref="E5:G5"/>
    <mergeCell ref="H5:J5"/>
    <mergeCell ref="K5:M5"/>
    <mergeCell ref="N5:P5"/>
  </mergeCells>
  <pageMargins left="0.45" right="0.45" top="0.5" bottom="0.5" header="0.3" footer="0.3"/>
  <pageSetup paperSize="3" scale="68" orientation="landscape" r:id="rId1"/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vs. Actuals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Tcaa Admin</cp:lastModifiedBy>
  <cp:lastPrinted>2024-07-06T15:44:38Z</cp:lastPrinted>
  <dcterms:created xsi:type="dcterms:W3CDTF">2024-07-02T18:11:10Z</dcterms:created>
  <dcterms:modified xsi:type="dcterms:W3CDTF">2024-07-06T15:44:47Z</dcterms:modified>
</cp:coreProperties>
</file>